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pivotTables/pivotTable2.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hidePivotFieldList="1" defaultThemeVersion="166925"/>
  <mc:AlternateContent xmlns:mc="http://schemas.openxmlformats.org/markup-compatibility/2006">
    <mc:Choice Requires="x15">
      <x15ac:absPath xmlns:x15ac="http://schemas.microsoft.com/office/spreadsheetml/2010/11/ac" url="J:\Data\REEJ\CASES\SOLS\Baja Concrete-Newway Forming Inc. (132-2021)\Pleadings\+MSJ (add details here when we have a set date)\Daron Williams declarations\"/>
    </mc:Choice>
  </mc:AlternateContent>
  <xr:revisionPtr revIDLastSave="0" documentId="13_ncr:1_{E81732E5-98BE-44AF-8D20-1B3183CF98BD}" xr6:coauthVersionLast="47" xr6:coauthVersionMax="47" xr10:uidLastSave="{00000000-0000-0000-0000-000000000000}"/>
  <workbookProtection workbookAlgorithmName="SHA-512" workbookHashValue="9Swk/O7mMHl23KdfxtWO6xUOh2QTj1b94FO4QVdy4yn1nOeWFLOgxewbCO5NmfeE38HgwMYrVOK7OGuskflNLg==" workbookSaltValue="ElvEvnjoeZXkRgxA5uTIYg==" workbookSpinCount="100000" lockStructure="1"/>
  <bookViews>
    <workbookView xWindow="-108" yWindow="-108" windowWidth="23256" windowHeight="12576" firstSheet="3" activeTab="8" xr2:uid="{42F191AF-23FB-4992-89B1-37CA54C7C040}"/>
  </bookViews>
  <sheets>
    <sheet name="Baja SPS" sheetId="1" r:id="rId1"/>
    <sheet name="Hours" sheetId="11" r:id="rId2"/>
    <sheet name="Color Key and Notes" sheetId="7" r:id="rId3"/>
    <sheet name="OLS OT &amp; WT calcs" sheetId="2" r:id="rId4"/>
    <sheet name="MW Calcs" sheetId="3" r:id="rId5"/>
    <sheet name="Sheet1" sheetId="8" state="hidden" r:id="rId6"/>
    <sheet name="PSST" sheetId="9" r:id="rId7"/>
    <sheet name="OLS OT &amp; WT_COPYCBE" sheetId="5" r:id="rId8"/>
    <sheet name="Avg hourly rate" sheetId="6" r:id="rId9"/>
  </sheets>
  <definedNames>
    <definedName name="_xlnm._FilterDatabase" localSheetId="0" hidden="1">'Baja SPS'!$A$6:$J$6</definedName>
    <definedName name="_xlnm._FilterDatabase" localSheetId="3" hidden="1">'OLS OT &amp; WT calcs'!$A$1:$R$915</definedName>
    <definedName name="_xlnm._FilterDatabase" localSheetId="7" hidden="1">'OLS OT &amp; WT_COPYCBE'!$A$1:$T$911</definedName>
  </definedNames>
  <calcPr calcId="191028"/>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 i="9" l="1"/>
  <c r="X4" i="9"/>
  <c r="X5"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2" i="9"/>
  <c r="J3" i="3"/>
  <c r="J4" i="3"/>
  <c r="J5" i="3"/>
  <c r="J6" i="3"/>
  <c r="J7" i="3"/>
  <c r="J8" i="3"/>
  <c r="J2" i="3"/>
  <c r="Q915" i="2"/>
  <c r="Q914" i="2"/>
  <c r="Q913" i="2"/>
  <c r="Q909" i="2"/>
  <c r="Q908" i="2"/>
  <c r="Q907" i="2"/>
  <c r="Q906" i="2"/>
  <c r="Q905" i="2"/>
  <c r="Q904" i="2"/>
  <c r="Q903" i="2"/>
  <c r="Q902" i="2"/>
  <c r="Q899" i="2"/>
  <c r="Q898" i="2"/>
  <c r="Q897" i="2"/>
  <c r="Q896" i="2"/>
  <c r="Q895" i="2"/>
  <c r="Q894" i="2"/>
  <c r="Q893" i="2"/>
  <c r="Q892" i="2"/>
  <c r="Q891" i="2"/>
  <c r="Q890" i="2"/>
  <c r="Q889" i="2"/>
  <c r="Q888" i="2"/>
  <c r="Q887" i="2"/>
  <c r="Q886" i="2"/>
  <c r="Q885" i="2"/>
  <c r="Q884" i="2"/>
  <c r="Q883" i="2"/>
  <c r="Q882" i="2"/>
  <c r="Q881" i="2"/>
  <c r="Q880" i="2"/>
  <c r="Q879" i="2"/>
  <c r="Q878" i="2"/>
  <c r="Q877" i="2"/>
  <c r="Q861" i="2"/>
  <c r="Q860" i="2"/>
  <c r="Q859" i="2"/>
  <c r="Q858" i="2"/>
  <c r="Q857" i="2"/>
  <c r="Q854" i="2"/>
  <c r="Q853" i="2"/>
  <c r="Q852" i="2"/>
  <c r="Q851" i="2"/>
  <c r="Q850" i="2"/>
  <c r="Q849" i="2"/>
  <c r="Q848" i="2"/>
  <c r="Q847" i="2"/>
  <c r="Q846" i="2"/>
  <c r="Q845" i="2"/>
  <c r="Q844" i="2"/>
  <c r="Q843" i="2"/>
  <c r="Q842" i="2"/>
  <c r="Q841" i="2"/>
  <c r="Q840" i="2"/>
  <c r="Q839" i="2"/>
  <c r="Q838" i="2"/>
  <c r="Q837" i="2"/>
  <c r="Q834" i="2"/>
  <c r="Q833" i="2"/>
  <c r="Q832" i="2"/>
  <c r="Q831" i="2"/>
  <c r="Q830" i="2"/>
  <c r="Q829" i="2"/>
  <c r="Q828" i="2"/>
  <c r="Q827" i="2"/>
  <c r="Q826" i="2"/>
  <c r="Q825" i="2"/>
  <c r="Q824" i="2"/>
  <c r="Q823" i="2"/>
  <c r="Q822" i="2"/>
  <c r="Q821" i="2"/>
  <c r="Q820" i="2"/>
  <c r="Q819" i="2"/>
  <c r="Q818" i="2"/>
  <c r="Q817" i="2"/>
  <c r="Q816" i="2"/>
  <c r="Q815" i="2"/>
  <c r="Q814" i="2"/>
  <c r="Q812" i="2"/>
  <c r="Q811" i="2"/>
  <c r="Q810" i="2"/>
  <c r="Q809" i="2"/>
  <c r="Q808" i="2"/>
  <c r="Q807" i="2"/>
  <c r="Q806" i="2"/>
  <c r="Q805" i="2"/>
  <c r="Q804" i="2"/>
  <c r="Q803" i="2"/>
  <c r="Q801" i="2"/>
  <c r="Q797" i="2"/>
  <c r="Q796" i="2"/>
  <c r="Q795" i="2"/>
  <c r="Q794" i="2"/>
  <c r="Q793" i="2"/>
  <c r="Q792" i="2"/>
  <c r="Q791" i="2"/>
  <c r="Q790" i="2"/>
  <c r="Q789" i="2"/>
  <c r="Q788" i="2"/>
  <c r="Q787" i="2"/>
  <c r="Q786" i="2"/>
  <c r="Q785" i="2"/>
  <c r="Q784" i="2"/>
  <c r="Q783" i="2"/>
  <c r="Q782" i="2"/>
  <c r="Q781" i="2"/>
  <c r="Q780" i="2"/>
  <c r="Q779" i="2"/>
  <c r="Q778" i="2"/>
  <c r="Q777" i="2"/>
  <c r="Q776" i="2"/>
  <c r="Q775" i="2"/>
  <c r="Q774" i="2"/>
  <c r="Q773" i="2"/>
  <c r="Q772" i="2"/>
  <c r="Q771" i="2"/>
  <c r="Q770" i="2"/>
  <c r="Q769" i="2"/>
  <c r="Q768" i="2"/>
  <c r="Q767" i="2"/>
  <c r="Q766" i="2"/>
  <c r="Q765" i="2"/>
  <c r="Q764" i="2"/>
  <c r="Q761" i="2"/>
  <c r="Q760" i="2"/>
  <c r="Q759" i="2"/>
  <c r="Q758" i="2"/>
  <c r="Q757" i="2"/>
  <c r="Q756" i="2"/>
  <c r="Q755" i="2"/>
  <c r="Q754" i="2"/>
  <c r="Q753" i="2"/>
  <c r="Q749" i="2"/>
  <c r="Q748" i="2"/>
  <c r="Q747" i="2"/>
  <c r="Q746" i="2"/>
  <c r="Q745" i="2"/>
  <c r="Q744" i="2"/>
  <c r="Q743" i="2"/>
  <c r="Q742" i="2"/>
  <c r="Q741" i="2"/>
  <c r="Q740" i="2"/>
  <c r="Q739" i="2"/>
  <c r="Q738" i="2"/>
  <c r="Q737" i="2"/>
  <c r="Q736" i="2"/>
  <c r="Q735" i="2"/>
  <c r="Q734" i="2"/>
  <c r="Q733" i="2"/>
  <c r="Q728" i="2"/>
  <c r="Q727" i="2"/>
  <c r="Q726" i="2"/>
  <c r="Q725" i="2"/>
  <c r="Q724" i="2"/>
  <c r="Q723" i="2"/>
  <c r="Q722" i="2"/>
  <c r="Q721" i="2"/>
  <c r="Q720" i="2"/>
  <c r="Q719" i="2"/>
  <c r="Q718" i="2"/>
  <c r="Q717" i="2"/>
  <c r="Q716" i="2"/>
  <c r="Q715" i="2"/>
  <c r="Q714" i="2"/>
  <c r="Q713" i="2"/>
  <c r="Q712" i="2"/>
  <c r="Q711" i="2"/>
  <c r="Q710" i="2"/>
  <c r="Q709" i="2"/>
  <c r="Q708" i="2"/>
  <c r="Q707" i="2"/>
  <c r="Q704" i="2"/>
  <c r="Q703" i="2"/>
  <c r="Q702" i="2"/>
  <c r="Q701" i="2"/>
  <c r="Q697" i="2"/>
  <c r="Q695" i="2"/>
  <c r="Q694" i="2"/>
  <c r="Q693" i="2"/>
  <c r="Q685" i="2"/>
  <c r="Q684" i="2"/>
  <c r="Q683" i="2"/>
  <c r="Q682" i="2"/>
  <c r="Q681" i="2"/>
  <c r="Q680" i="2"/>
  <c r="Q679" i="2"/>
  <c r="Q678" i="2"/>
  <c r="Q677" i="2"/>
  <c r="Q676" i="2"/>
  <c r="Q675" i="2"/>
  <c r="Q674" i="2"/>
  <c r="Q673" i="2"/>
  <c r="Q672" i="2"/>
  <c r="Q671" i="2"/>
  <c r="Q670" i="2"/>
  <c r="Q667" i="2"/>
  <c r="Q666" i="2"/>
  <c r="Q665" i="2"/>
  <c r="Q664" i="2"/>
  <c r="Q663" i="2"/>
  <c r="Q662" i="2"/>
  <c r="Q661" i="2"/>
  <c r="Q660" i="2"/>
  <c r="Q659" i="2"/>
  <c r="Q658" i="2"/>
  <c r="Q654" i="2"/>
  <c r="Q653" i="2"/>
  <c r="Q652" i="2"/>
  <c r="Q651" i="2"/>
  <c r="Q650" i="2"/>
  <c r="Q649" i="2"/>
  <c r="Q648" i="2"/>
  <c r="Q644" i="2"/>
  <c r="Q643" i="2"/>
  <c r="Q642" i="2"/>
  <c r="Q641" i="2"/>
  <c r="Q640" i="2"/>
  <c r="Q639" i="2"/>
  <c r="Q638" i="2"/>
  <c r="Q637" i="2"/>
  <c r="Q636" i="2"/>
  <c r="Q635" i="2"/>
  <c r="Q634" i="2"/>
  <c r="Q633" i="2"/>
  <c r="Q632" i="2"/>
  <c r="Q631" i="2"/>
  <c r="Q630" i="2"/>
  <c r="Q627" i="2"/>
  <c r="Q626" i="2"/>
  <c r="Q625" i="2"/>
  <c r="Q624" i="2"/>
  <c r="Q620" i="2"/>
  <c r="Q619" i="2"/>
  <c r="Q618" i="2"/>
  <c r="Q617" i="2"/>
  <c r="Q616" i="2"/>
  <c r="Q615" i="2"/>
  <c r="Q614" i="2"/>
  <c r="Q613" i="2"/>
  <c r="Q612" i="2"/>
  <c r="Q611" i="2"/>
  <c r="Q610" i="2"/>
  <c r="Q609" i="2"/>
  <c r="Q608" i="2"/>
  <c r="Q607" i="2"/>
  <c r="Q606" i="2"/>
  <c r="Q605" i="2"/>
  <c r="Q604" i="2"/>
  <c r="Q603" i="2"/>
  <c r="Q602" i="2"/>
  <c r="Q601" i="2"/>
  <c r="Q600" i="2"/>
  <c r="Q599" i="2"/>
  <c r="Q598" i="2"/>
  <c r="Q597" i="2"/>
  <c r="Q596" i="2"/>
  <c r="Q595" i="2"/>
  <c r="Q594" i="2"/>
  <c r="Q593" i="2"/>
  <c r="Q592" i="2"/>
  <c r="Q591" i="2"/>
  <c r="Q590" i="2"/>
  <c r="Q589" i="2"/>
  <c r="Q581" i="2"/>
  <c r="Q579" i="2"/>
  <c r="Q578" i="2"/>
  <c r="Q577" i="2"/>
  <c r="Q576" i="2"/>
  <c r="Q575" i="2"/>
  <c r="Q572" i="2"/>
  <c r="Q571" i="2"/>
  <c r="Q570" i="2"/>
  <c r="Q569" i="2"/>
  <c r="Q568" i="2"/>
  <c r="Q567" i="2"/>
  <c r="Q566" i="2"/>
  <c r="Q565" i="2"/>
  <c r="Q564" i="2"/>
  <c r="Q563" i="2"/>
  <c r="Q562" i="2"/>
  <c r="Q561" i="2"/>
  <c r="Q560" i="2"/>
  <c r="Q559" i="2"/>
  <c r="Q556" i="2"/>
  <c r="Q555" i="2"/>
  <c r="Q554" i="2"/>
  <c r="Q553" i="2"/>
  <c r="Q552" i="2"/>
  <c r="Q551" i="2"/>
  <c r="Q550" i="2"/>
  <c r="Q549" i="2"/>
  <c r="Q548" i="2"/>
  <c r="Q547" i="2"/>
  <c r="Q546" i="2"/>
  <c r="Q545" i="2"/>
  <c r="Q544" i="2"/>
  <c r="Q543" i="2"/>
  <c r="Q542" i="2"/>
  <c r="Q541" i="2"/>
  <c r="Q540" i="2"/>
  <c r="Q539" i="2"/>
  <c r="Q538" i="2"/>
  <c r="Q537" i="2"/>
  <c r="Q536" i="2"/>
  <c r="Q535" i="2"/>
  <c r="Q518" i="2"/>
  <c r="Q517" i="2"/>
  <c r="Q516" i="2"/>
  <c r="Q515" i="2"/>
  <c r="Q514" i="2"/>
  <c r="Q511" i="2"/>
  <c r="Q510" i="2"/>
  <c r="Q509" i="2"/>
  <c r="Q503" i="2"/>
  <c r="Q479" i="2"/>
  <c r="Q478" i="2"/>
  <c r="Q475" i="2"/>
  <c r="Q474" i="2"/>
  <c r="Q473" i="2"/>
  <c r="Q472" i="2"/>
  <c r="Q468" i="2"/>
  <c r="Q466" i="2"/>
  <c r="Q465" i="2"/>
  <c r="Q464" i="2"/>
  <c r="Q463" i="2"/>
  <c r="Q462" i="2"/>
  <c r="Q461" i="2"/>
  <c r="Q460" i="2"/>
  <c r="Q459" i="2"/>
  <c r="Q458" i="2"/>
  <c r="Q457" i="2"/>
  <c r="Q456" i="2"/>
  <c r="Q455" i="2"/>
  <c r="Q454" i="2"/>
  <c r="Q453" i="2"/>
  <c r="Q452" i="2"/>
  <c r="Q451" i="2"/>
  <c r="Q446" i="2"/>
  <c r="Q445" i="2"/>
  <c r="Q444" i="2"/>
  <c r="Q443" i="2"/>
  <c r="Q442" i="2"/>
  <c r="Q441" i="2"/>
  <c r="Q440" i="2"/>
  <c r="Q439" i="2"/>
  <c r="Q438" i="2"/>
  <c r="Q437" i="2"/>
  <c r="Q436" i="2"/>
  <c r="Q435" i="2"/>
  <c r="Q434" i="2"/>
  <c r="Q433" i="2"/>
  <c r="Q432" i="2"/>
  <c r="Q431" i="2"/>
  <c r="Q422" i="2"/>
  <c r="Q421" i="2"/>
  <c r="Q420" i="2"/>
  <c r="Q419" i="2"/>
  <c r="Q418" i="2"/>
  <c r="Q417" i="2"/>
  <c r="Q416" i="2"/>
  <c r="Q415" i="2"/>
  <c r="Q414" i="2"/>
  <c r="Q413" i="2"/>
  <c r="Q412" i="2"/>
  <c r="Q411" i="2"/>
  <c r="Q410" i="2"/>
  <c r="Q409" i="2"/>
  <c r="Q408" i="2"/>
  <c r="Q407" i="2"/>
  <c r="Q406" i="2"/>
  <c r="Q405" i="2"/>
  <c r="Q404" i="2"/>
  <c r="Q403" i="2"/>
  <c r="Q397" i="2"/>
  <c r="Q396" i="2"/>
  <c r="Q395" i="2"/>
  <c r="Q394" i="2"/>
  <c r="Q393" i="2"/>
  <c r="Q392" i="2"/>
  <c r="Q391" i="2"/>
  <c r="Q390" i="2"/>
  <c r="Q389" i="2"/>
  <c r="Q388" i="2"/>
  <c r="Q387" i="2"/>
  <c r="Q386" i="2"/>
  <c r="Q381" i="2"/>
  <c r="Q380" i="2"/>
  <c r="Q379" i="2"/>
  <c r="Q378" i="2"/>
  <c r="Q377" i="2"/>
  <c r="Q376" i="2"/>
  <c r="Q375" i="2"/>
  <c r="Q374" i="2"/>
  <c r="Q373" i="2"/>
  <c r="Q372" i="2"/>
  <c r="Q371" i="2"/>
  <c r="Q370" i="2"/>
  <c r="Q369" i="2"/>
  <c r="Q368" i="2"/>
  <c r="Q367" i="2"/>
  <c r="Q366" i="2"/>
  <c r="Q364" i="2"/>
  <c r="Q363" i="2"/>
  <c r="Q362" i="2"/>
  <c r="Q361" i="2"/>
  <c r="Q360" i="2"/>
  <c r="Q359" i="2"/>
  <c r="Q358" i="2"/>
  <c r="Q357" i="2"/>
  <c r="Q356" i="2"/>
  <c r="Q355" i="2"/>
  <c r="Q354" i="2"/>
  <c r="Q353" i="2"/>
  <c r="Q352" i="2"/>
  <c r="Q351" i="2"/>
  <c r="Q350" i="2"/>
  <c r="Q349" i="2"/>
  <c r="Q347" i="2"/>
  <c r="Q346" i="2"/>
  <c r="Q345" i="2"/>
  <c r="Q344" i="2"/>
  <c r="Q343" i="2"/>
  <c r="Q342" i="2"/>
  <c r="Q341" i="2"/>
  <c r="Q337" i="2"/>
  <c r="Q336" i="2"/>
  <c r="Q335" i="2"/>
  <c r="Q334" i="2"/>
  <c r="Q333" i="2"/>
  <c r="Q332" i="2"/>
  <c r="Q331" i="2"/>
  <c r="Q330" i="2"/>
  <c r="Q329" i="2"/>
  <c r="Q328" i="2"/>
  <c r="Q327" i="2"/>
  <c r="Q326" i="2"/>
  <c r="Q325" i="2"/>
  <c r="Q324" i="2"/>
  <c r="Q323" i="2"/>
  <c r="Q322" i="2"/>
  <c r="Q321" i="2"/>
  <c r="Q320" i="2"/>
  <c r="Q319" i="2"/>
  <c r="Q318" i="2"/>
  <c r="Q317" i="2"/>
  <c r="Q316" i="2"/>
  <c r="Q315" i="2"/>
  <c r="Q314" i="2"/>
  <c r="Q313" i="2"/>
  <c r="Q312" i="2"/>
  <c r="Q311" i="2"/>
  <c r="Q310" i="2"/>
  <c r="Q309" i="2"/>
  <c r="Q308" i="2"/>
  <c r="Q307" i="2"/>
  <c r="Q306" i="2"/>
  <c r="Q305" i="2"/>
  <c r="Q304" i="2"/>
  <c r="Q303" i="2"/>
  <c r="Q302" i="2"/>
  <c r="Q301" i="2"/>
  <c r="Q298" i="2"/>
  <c r="Q297" i="2"/>
  <c r="Q296" i="2"/>
  <c r="Q292" i="2"/>
  <c r="Q289" i="2"/>
  <c r="Q288" i="2"/>
  <c r="Q287" i="2"/>
  <c r="Q286" i="2"/>
  <c r="Q285" i="2"/>
  <c r="Q284" i="2"/>
  <c r="Q283" i="2"/>
  <c r="Q282" i="2"/>
  <c r="Q281" i="2"/>
  <c r="Q280" i="2"/>
  <c r="Q279" i="2"/>
  <c r="Q278" i="2"/>
  <c r="Q277" i="2"/>
  <c r="Q276" i="2"/>
  <c r="Q275" i="2"/>
  <c r="Q274" i="2"/>
  <c r="Q273" i="2"/>
  <c r="Q272" i="2"/>
  <c r="Q271" i="2"/>
  <c r="Q270" i="2"/>
  <c r="Q269" i="2"/>
  <c r="Q268"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1" i="2"/>
  <c r="Q230" i="2"/>
  <c r="Q229" i="2"/>
  <c r="Q228" i="2"/>
  <c r="Q227" i="2"/>
  <c r="Q226" i="2"/>
  <c r="Q225" i="2"/>
  <c r="Q224" i="2"/>
  <c r="Q223" i="2"/>
  <c r="Q222" i="2"/>
  <c r="Q221" i="2"/>
  <c r="Q220" i="2"/>
  <c r="Q219" i="2"/>
  <c r="Q218" i="2"/>
  <c r="Q217" i="2"/>
  <c r="Q201" i="2"/>
  <c r="Q200" i="2"/>
  <c r="Q199" i="2"/>
  <c r="Q198" i="2"/>
  <c r="Q197" i="2"/>
  <c r="Q196" i="2"/>
  <c r="Q195" i="2"/>
  <c r="Q194" i="2"/>
  <c r="Q193"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09" i="2"/>
  <c r="Q108" i="2"/>
  <c r="Q107" i="2"/>
  <c r="Q106" i="2"/>
  <c r="Q105" i="2"/>
  <c r="Q104" i="2"/>
  <c r="Q103" i="2"/>
  <c r="Q102" i="2"/>
  <c r="Q101" i="2"/>
  <c r="Q100" i="2"/>
  <c r="Q99" i="2"/>
  <c r="Q98" i="2"/>
  <c r="Q97" i="2"/>
  <c r="Q96" i="2"/>
  <c r="Q95" i="2"/>
  <c r="Q94" i="2"/>
  <c r="Q93" i="2"/>
  <c r="Q92" i="2"/>
  <c r="Q91" i="2"/>
  <c r="Q90" i="2"/>
  <c r="Q89" i="2"/>
  <c r="Q88" i="2"/>
  <c r="Q87" i="2"/>
  <c r="Q86" i="2"/>
  <c r="Q85" i="2"/>
  <c r="Q77" i="2"/>
  <c r="Q76" i="2"/>
  <c r="Q75" i="2"/>
  <c r="Q74" i="2"/>
  <c r="Q73" i="2"/>
  <c r="Q72" i="2"/>
  <c r="Q47" i="2"/>
  <c r="Q46" i="2"/>
  <c r="Q45" i="2"/>
  <c r="Q44" i="2"/>
  <c r="Q43" i="2"/>
  <c r="Q42" i="2"/>
  <c r="Q41" i="2"/>
  <c r="Q40" i="2"/>
  <c r="Q39" i="2"/>
  <c r="Q38" i="2"/>
  <c r="Q37" i="2"/>
  <c r="Q36" i="2"/>
  <c r="Q35" i="2"/>
  <c r="Q34" i="2"/>
  <c r="Q33" i="2"/>
  <c r="Q32" i="2"/>
  <c r="Q31" i="2"/>
  <c r="Q28" i="2"/>
  <c r="Q27" i="2"/>
  <c r="Q26" i="2"/>
  <c r="Q25" i="2"/>
  <c r="Q24" i="2"/>
  <c r="Q23" i="2"/>
  <c r="Q22" i="2"/>
  <c r="Q21" i="2"/>
  <c r="Q19" i="2"/>
  <c r="Q18" i="2"/>
  <c r="Q17" i="2"/>
  <c r="Q16" i="2"/>
  <c r="Q15" i="2"/>
  <c r="Q14" i="2"/>
  <c r="Q13" i="2"/>
  <c r="Q12" i="2"/>
  <c r="Q11" i="2"/>
  <c r="Q10" i="2"/>
  <c r="Q9" i="2"/>
  <c r="Q8" i="2"/>
  <c r="Q7" i="2"/>
  <c r="Q6" i="2"/>
  <c r="Q5" i="2"/>
  <c r="Q4" i="2"/>
  <c r="Q3" i="2"/>
  <c r="Q2" i="2"/>
  <c r="O735" i="2"/>
  <c r="O503" i="2"/>
  <c r="O317" i="2"/>
  <c r="O5" i="2" l="1"/>
  <c r="O651" i="2"/>
  <c r="O562" i="2"/>
  <c r="O905" i="2"/>
  <c r="O650" i="2"/>
  <c r="O518" i="2"/>
  <c r="O906" i="2"/>
  <c r="P572" i="2" l="1"/>
  <c r="AA40" i="9" l="1"/>
  <c r="F2" i="9"/>
  <c r="G2" i="9" s="1"/>
  <c r="E2" i="9"/>
  <c r="O13" i="5"/>
  <c r="O12" i="5"/>
  <c r="O11" i="5"/>
  <c r="O10" i="5"/>
  <c r="O9" i="5"/>
  <c r="O8" i="5"/>
  <c r="O7" i="5"/>
  <c r="O6" i="5"/>
  <c r="O5" i="5"/>
  <c r="O4" i="5"/>
  <c r="O3" i="5"/>
  <c r="O2" i="5"/>
  <c r="Q2" i="5" l="1"/>
  <c r="P2" i="5"/>
  <c r="Q3" i="5"/>
  <c r="P3" i="5"/>
  <c r="Q4" i="5"/>
  <c r="P4" i="5"/>
  <c r="Q5" i="5"/>
  <c r="P5" i="5"/>
  <c r="Q6" i="5"/>
  <c r="P6" i="5"/>
  <c r="Q7" i="5"/>
  <c r="P7" i="5"/>
  <c r="Q8" i="5"/>
  <c r="P8" i="5"/>
  <c r="Q9" i="5"/>
  <c r="P9" i="5"/>
  <c r="Q10" i="5"/>
  <c r="P10" i="5"/>
  <c r="Q11" i="5"/>
  <c r="P11" i="5"/>
  <c r="Q12" i="5"/>
  <c r="P12" i="5"/>
  <c r="Q13" i="5"/>
  <c r="P13" i="5"/>
  <c r="I2" i="9"/>
  <c r="Y2" i="9" s="1"/>
  <c r="Z2" i="9"/>
  <c r="O453" i="2"/>
  <c r="P453" i="2" s="1"/>
  <c r="O451" i="2"/>
  <c r="O455" i="2"/>
  <c r="O454" i="2"/>
  <c r="O452" i="2"/>
  <c r="P452" i="2" l="1"/>
  <c r="P454" i="2"/>
  <c r="P455" i="2"/>
  <c r="P451" i="2"/>
  <c r="R916" i="2"/>
  <c r="O13" i="2"/>
  <c r="P5" i="2"/>
  <c r="P13" i="2"/>
  <c r="O4" i="2"/>
  <c r="O6" i="2"/>
  <c r="O7" i="2"/>
  <c r="O8" i="2"/>
  <c r="O9" i="2"/>
  <c r="O10" i="2"/>
  <c r="O11" i="2"/>
  <c r="O12" i="2"/>
  <c r="O3" i="2"/>
  <c r="O2" i="2"/>
  <c r="P2" i="2" l="1"/>
  <c r="P3" i="2"/>
  <c r="P12" i="2"/>
  <c r="P11" i="2"/>
  <c r="P10" i="2"/>
  <c r="P9" i="2"/>
  <c r="P8" i="2"/>
  <c r="P7" i="2"/>
  <c r="P6" i="2"/>
  <c r="P4" i="2"/>
  <c r="AB2" i="9"/>
  <c r="L5" i="9" l="1"/>
  <c r="M3" i="9"/>
  <c r="S5" i="9" l="1"/>
  <c r="T5" i="9"/>
  <c r="U5" i="9" s="1"/>
  <c r="S7" i="9"/>
  <c r="T7" i="9"/>
  <c r="U7" i="9" s="1"/>
  <c r="S11" i="9"/>
  <c r="T11" i="9"/>
  <c r="U11" i="9" s="1"/>
  <c r="Z11" i="9" s="1"/>
  <c r="AB11" i="9" s="1"/>
  <c r="S12" i="9"/>
  <c r="T12" i="9"/>
  <c r="U12" i="9" s="1"/>
  <c r="S13" i="9"/>
  <c r="T13" i="9"/>
  <c r="U13" i="9" s="1"/>
  <c r="S14" i="9"/>
  <c r="T14" i="9"/>
  <c r="U14" i="9" s="1"/>
  <c r="S17" i="9"/>
  <c r="T17" i="9"/>
  <c r="U17" i="9" s="1"/>
  <c r="Z17" i="9" s="1"/>
  <c r="AB17" i="9" s="1"/>
  <c r="S18" i="9"/>
  <c r="T18" i="9"/>
  <c r="U18" i="9" s="1"/>
  <c r="S19" i="9"/>
  <c r="T19" i="9"/>
  <c r="U19" i="9" s="1"/>
  <c r="S20" i="9"/>
  <c r="T20" i="9"/>
  <c r="U20" i="9" s="1"/>
  <c r="S21" i="9"/>
  <c r="T21" i="9"/>
  <c r="U21" i="9" s="1"/>
  <c r="Z21" i="9" s="1"/>
  <c r="AB21" i="9" s="1"/>
  <c r="S23" i="9"/>
  <c r="T23" i="9"/>
  <c r="U23" i="9" s="1"/>
  <c r="S24" i="9"/>
  <c r="T24" i="9"/>
  <c r="U24" i="9" s="1"/>
  <c r="Z24" i="9" s="1"/>
  <c r="AB24" i="9" s="1"/>
  <c r="S26" i="9"/>
  <c r="T26" i="9"/>
  <c r="U26" i="9" s="1"/>
  <c r="S27" i="9"/>
  <c r="T27" i="9"/>
  <c r="U27" i="9" s="1"/>
  <c r="S28" i="9"/>
  <c r="T28" i="9"/>
  <c r="U28" i="9" s="1"/>
  <c r="S29" i="9"/>
  <c r="T29" i="9"/>
  <c r="U29" i="9" s="1"/>
  <c r="Z29" i="9" s="1"/>
  <c r="AB29" i="9" s="1"/>
  <c r="S30" i="9"/>
  <c r="T30" i="9"/>
  <c r="U30" i="9" s="1"/>
  <c r="S32" i="9"/>
  <c r="T32" i="9"/>
  <c r="U32" i="9" s="1"/>
  <c r="Z32" i="9" s="1"/>
  <c r="AB32" i="9" s="1"/>
  <c r="S33" i="9"/>
  <c r="T33" i="9"/>
  <c r="U33" i="9" s="1"/>
  <c r="S34" i="9"/>
  <c r="T34" i="9"/>
  <c r="U34" i="9" s="1"/>
  <c r="S35" i="9"/>
  <c r="T35" i="9"/>
  <c r="U35" i="9" s="1"/>
  <c r="S37" i="9"/>
  <c r="T37" i="9"/>
  <c r="U37" i="9" s="1"/>
  <c r="S38" i="9"/>
  <c r="T38" i="9"/>
  <c r="U38" i="9" s="1"/>
  <c r="S39" i="9"/>
  <c r="T39" i="9"/>
  <c r="U39" i="9" s="1"/>
  <c r="Z39" i="9" s="1"/>
  <c r="AB39" i="9" s="1"/>
  <c r="L4" i="9"/>
  <c r="M4" i="9"/>
  <c r="N4" i="9" s="1"/>
  <c r="M5" i="9"/>
  <c r="N5" i="9" s="1"/>
  <c r="P5" i="9" s="1"/>
  <c r="L6" i="9"/>
  <c r="M6" i="9"/>
  <c r="N6" i="9" s="1"/>
  <c r="Z6" i="9" s="1"/>
  <c r="L7" i="9"/>
  <c r="M7" i="9"/>
  <c r="N7" i="9" s="1"/>
  <c r="P7" i="9" s="1"/>
  <c r="L8" i="9"/>
  <c r="M8" i="9"/>
  <c r="N8" i="9" s="1"/>
  <c r="P8" i="9" s="1"/>
  <c r="L9" i="9"/>
  <c r="M9" i="9"/>
  <c r="N9" i="9" s="1"/>
  <c r="Z9" i="9" s="1"/>
  <c r="L10" i="9"/>
  <c r="M10" i="9"/>
  <c r="N10" i="9" s="1"/>
  <c r="Z10" i="9" s="1"/>
  <c r="L12" i="9"/>
  <c r="M12" i="9"/>
  <c r="N12" i="9" s="1"/>
  <c r="L13" i="9"/>
  <c r="M13" i="9"/>
  <c r="N13" i="9" s="1"/>
  <c r="L14" i="9"/>
  <c r="M14" i="9"/>
  <c r="N14" i="9" s="1"/>
  <c r="P14" i="9" s="1"/>
  <c r="L15" i="9"/>
  <c r="M15" i="9"/>
  <c r="N15" i="9" s="1"/>
  <c r="P15" i="9" s="1"/>
  <c r="L16" i="9"/>
  <c r="M16" i="9"/>
  <c r="N16" i="9" s="1"/>
  <c r="P16" i="9" s="1"/>
  <c r="L18" i="9"/>
  <c r="M18" i="9"/>
  <c r="N18" i="9" s="1"/>
  <c r="L19" i="9"/>
  <c r="M19" i="9"/>
  <c r="N19" i="9" s="1"/>
  <c r="L20" i="9"/>
  <c r="M20" i="9"/>
  <c r="N20" i="9" s="1"/>
  <c r="L22" i="9"/>
  <c r="M22" i="9"/>
  <c r="N22" i="9" s="1"/>
  <c r="Z22" i="9" s="1"/>
  <c r="L23" i="9"/>
  <c r="M23" i="9"/>
  <c r="N23" i="9" s="1"/>
  <c r="L25" i="9"/>
  <c r="M25" i="9"/>
  <c r="N25" i="9" s="1"/>
  <c r="P25" i="9" s="1"/>
  <c r="L26" i="9"/>
  <c r="M26" i="9"/>
  <c r="N26" i="9" s="1"/>
  <c r="L27" i="9"/>
  <c r="M27" i="9"/>
  <c r="N27" i="9" s="1"/>
  <c r="L28" i="9"/>
  <c r="M28" i="9"/>
  <c r="N28" i="9" s="1"/>
  <c r="P28" i="9" s="1"/>
  <c r="L30" i="9"/>
  <c r="M30" i="9"/>
  <c r="N30" i="9" s="1"/>
  <c r="L31" i="9"/>
  <c r="M31" i="9"/>
  <c r="N31" i="9" s="1"/>
  <c r="Z31" i="9" s="1"/>
  <c r="L33" i="9"/>
  <c r="M33" i="9"/>
  <c r="N33" i="9" s="1"/>
  <c r="L34" i="9"/>
  <c r="M34" i="9"/>
  <c r="N34" i="9" s="1"/>
  <c r="P34" i="9" s="1"/>
  <c r="L35" i="9"/>
  <c r="M35" i="9"/>
  <c r="N35" i="9" s="1"/>
  <c r="L36" i="9"/>
  <c r="M36" i="9"/>
  <c r="N36" i="9" s="1"/>
  <c r="P36" i="9" s="1"/>
  <c r="L37" i="9"/>
  <c r="M37" i="9"/>
  <c r="N37" i="9" s="1"/>
  <c r="L38" i="9"/>
  <c r="M38" i="9"/>
  <c r="N38" i="9" s="1"/>
  <c r="L3" i="9"/>
  <c r="N3" i="9"/>
  <c r="P3" i="9" s="1"/>
  <c r="E8" i="9"/>
  <c r="F8" i="9"/>
  <c r="G8" i="9" s="1"/>
  <c r="E14" i="9"/>
  <c r="F14" i="9"/>
  <c r="G14" i="9" s="1"/>
  <c r="E15" i="9"/>
  <c r="F15" i="9"/>
  <c r="G15" i="9" s="1"/>
  <c r="I15" i="9" s="1"/>
  <c r="E16" i="9"/>
  <c r="F16" i="9"/>
  <c r="G16" i="9" s="1"/>
  <c r="E25" i="9"/>
  <c r="F25" i="9"/>
  <c r="G25" i="9" s="1"/>
  <c r="E28" i="9"/>
  <c r="F28" i="9"/>
  <c r="G28" i="9" s="1"/>
  <c r="E34" i="9"/>
  <c r="F34" i="9"/>
  <c r="G34" i="9" s="1"/>
  <c r="E36" i="9"/>
  <c r="F36" i="9"/>
  <c r="G36" i="9" s="1"/>
  <c r="F7" i="9"/>
  <c r="G7" i="9" s="1"/>
  <c r="I7" i="9" s="1"/>
  <c r="E7" i="9"/>
  <c r="F5" i="9"/>
  <c r="G5" i="9" s="1"/>
  <c r="E5" i="9"/>
  <c r="F3" i="9"/>
  <c r="G3" i="9" s="1"/>
  <c r="I3" i="9" s="1"/>
  <c r="E3" i="9"/>
  <c r="Z27" i="9" l="1"/>
  <c r="Z35" i="9"/>
  <c r="Z33" i="9"/>
  <c r="Z12" i="9"/>
  <c r="Z38" i="9"/>
  <c r="Z20" i="9"/>
  <c r="Z18" i="9"/>
  <c r="Y3" i="9"/>
  <c r="Z30" i="9"/>
  <c r="Z26" i="9"/>
  <c r="Y15" i="9"/>
  <c r="Z19" i="9"/>
  <c r="Y7" i="9"/>
  <c r="Z36" i="9"/>
  <c r="Z37" i="9"/>
  <c r="Z13" i="9"/>
  <c r="Z5" i="9"/>
  <c r="Z28" i="9"/>
  <c r="Z23" i="9"/>
  <c r="Z14" i="9"/>
  <c r="I36" i="9"/>
  <c r="Y36" i="9" s="1"/>
  <c r="I16" i="9"/>
  <c r="Y16" i="9" s="1"/>
  <c r="Z16" i="9"/>
  <c r="Z4" i="9"/>
  <c r="P4" i="9"/>
  <c r="Y4" i="9" s="1"/>
  <c r="Z34" i="9"/>
  <c r="I34" i="9"/>
  <c r="Y34" i="9" s="1"/>
  <c r="Z25" i="9"/>
  <c r="I25" i="9"/>
  <c r="Y25" i="9" s="1"/>
  <c r="Z8" i="9"/>
  <c r="I8" i="9"/>
  <c r="Y8" i="9" s="1"/>
  <c r="I28" i="9"/>
  <c r="Y28" i="9" s="1"/>
  <c r="I14" i="9"/>
  <c r="Y14" i="9" s="1"/>
  <c r="P38" i="9"/>
  <c r="Y38" i="9" s="1"/>
  <c r="P37" i="9"/>
  <c r="Y37" i="9" s="1"/>
  <c r="P35" i="9"/>
  <c r="Y35" i="9" s="1"/>
  <c r="AB35" i="9" s="1"/>
  <c r="P33" i="9"/>
  <c r="Y33" i="9" s="1"/>
  <c r="AB33" i="9" s="1"/>
  <c r="P31" i="9"/>
  <c r="Y31" i="9" s="1"/>
  <c r="AB31" i="9" s="1"/>
  <c r="P30" i="9"/>
  <c r="Y30" i="9" s="1"/>
  <c r="AB30" i="9" s="1"/>
  <c r="P27" i="9"/>
  <c r="Y27" i="9" s="1"/>
  <c r="AB27" i="9" s="1"/>
  <c r="P26" i="9"/>
  <c r="Y26" i="9" s="1"/>
  <c r="P23" i="9"/>
  <c r="Y23" i="9" s="1"/>
  <c r="P22" i="9"/>
  <c r="Y22" i="9" s="1"/>
  <c r="AB22" i="9" s="1"/>
  <c r="P20" i="9"/>
  <c r="Y20" i="9" s="1"/>
  <c r="AB20" i="9" s="1"/>
  <c r="P19" i="9"/>
  <c r="Y19" i="9" s="1"/>
  <c r="P18" i="9"/>
  <c r="Y18" i="9" s="1"/>
  <c r="P13" i="9"/>
  <c r="Y13" i="9" s="1"/>
  <c r="P12" i="9"/>
  <c r="Y12" i="9" s="1"/>
  <c r="P10" i="9"/>
  <c r="Y10" i="9" s="1"/>
  <c r="AB10" i="9" s="1"/>
  <c r="P9" i="9"/>
  <c r="Y9" i="9" s="1"/>
  <c r="AB9" i="9" s="1"/>
  <c r="P6" i="9"/>
  <c r="Y6" i="9" s="1"/>
  <c r="Z7" i="9"/>
  <c r="I5" i="9"/>
  <c r="Y5" i="9" s="1"/>
  <c r="Z15" i="9"/>
  <c r="Z3" i="9"/>
  <c r="M286" i="2"/>
  <c r="O286" i="2"/>
  <c r="AB26" i="9" l="1"/>
  <c r="AB18" i="9"/>
  <c r="AB5" i="9"/>
  <c r="AB38" i="9"/>
  <c r="AB7" i="9"/>
  <c r="AB12" i="9"/>
  <c r="AB15" i="9"/>
  <c r="AB37" i="9"/>
  <c r="AB19" i="9"/>
  <c r="AB36" i="9"/>
  <c r="AB28" i="9"/>
  <c r="AB25" i="9"/>
  <c r="AB14" i="9"/>
  <c r="AB13" i="9"/>
  <c r="AB16" i="9"/>
  <c r="Y40" i="9"/>
  <c r="AB23" i="9"/>
  <c r="AB34" i="9"/>
  <c r="AB8" i="9"/>
  <c r="AB4" i="9"/>
  <c r="Z40" i="9"/>
  <c r="AB6" i="9"/>
  <c r="K9" i="3"/>
  <c r="X40" i="9" l="1"/>
  <c r="AB3" i="9"/>
  <c r="AB40" i="9" s="1"/>
  <c r="O323" i="2" l="1"/>
  <c r="O322" i="2"/>
  <c r="O321" i="2"/>
  <c r="O320" i="2"/>
  <c r="O319" i="2"/>
  <c r="O318" i="2"/>
  <c r="O316" i="2"/>
  <c r="O313" i="2"/>
  <c r="O225" i="2"/>
  <c r="O220" i="2"/>
  <c r="O221" i="2"/>
  <c r="O218" i="2"/>
  <c r="O136" i="2"/>
  <c r="O128" i="2"/>
  <c r="O126" i="2"/>
  <c r="O125" i="2"/>
  <c r="O121" i="2"/>
  <c r="O781" i="2"/>
  <c r="O788" i="2"/>
  <c r="O778" i="2"/>
  <c r="O779" i="2"/>
  <c r="O780" i="2"/>
  <c r="O782" i="2"/>
  <c r="O783" i="2"/>
  <c r="O784" i="2"/>
  <c r="O785" i="2"/>
  <c r="O786" i="2"/>
  <c r="O787" i="2"/>
  <c r="O772" i="2"/>
  <c r="O773" i="2"/>
  <c r="O774" i="2"/>
  <c r="O775" i="2"/>
  <c r="O776" i="2"/>
  <c r="O777" i="2"/>
  <c r="O769" i="2"/>
  <c r="O771" i="2"/>
  <c r="O770" i="2"/>
  <c r="O736" i="2"/>
  <c r="P516" i="2"/>
  <c r="O509" i="2"/>
  <c r="O463" i="2"/>
  <c r="O462" i="2"/>
  <c r="O461" i="2"/>
  <c r="O460" i="2"/>
  <c r="O459" i="2"/>
  <c r="O458" i="2"/>
  <c r="O457" i="2"/>
  <c r="O456" i="2"/>
  <c r="O422" i="2"/>
  <c r="O419" i="2"/>
  <c r="O418" i="2"/>
  <c r="O417" i="2"/>
  <c r="O416" i="2"/>
  <c r="O415" i="2"/>
  <c r="O414" i="2"/>
  <c r="O405" i="2"/>
  <c r="O406" i="2"/>
  <c r="O407" i="2"/>
  <c r="O404" i="2"/>
  <c r="O393" i="2"/>
  <c r="O394" i="2"/>
  <c r="O395" i="2"/>
  <c r="O396" i="2"/>
  <c r="O397" i="2"/>
  <c r="O392" i="2"/>
  <c r="O381" i="2"/>
  <c r="O377" i="2"/>
  <c r="O378" i="2"/>
  <c r="O379" i="2"/>
  <c r="O380" i="2"/>
  <c r="O376" i="2"/>
  <c r="O375" i="2"/>
  <c r="O341" i="2"/>
  <c r="O333" i="2"/>
  <c r="O315" i="2"/>
  <c r="O314" i="2"/>
  <c r="O285" i="2"/>
  <c r="O223" i="2"/>
  <c r="O224" i="2"/>
  <c r="O226" i="2"/>
  <c r="O227" i="2"/>
  <c r="O228" i="2"/>
  <c r="O222" i="2"/>
  <c r="P220" i="2"/>
  <c r="O219" i="2"/>
  <c r="P225" i="2"/>
  <c r="O217" i="2"/>
  <c r="O180" i="2"/>
  <c r="O181" i="2"/>
  <c r="O179" i="2"/>
  <c r="P128" i="2"/>
  <c r="P136" i="2"/>
  <c r="O127" i="2"/>
  <c r="O124" i="2"/>
  <c r="O74" i="2"/>
  <c r="O73" i="2"/>
  <c r="O72" i="2"/>
  <c r="O31" i="2"/>
  <c r="O14" i="5"/>
  <c r="Q14" i="5" s="1"/>
  <c r="O15" i="5"/>
  <c r="Q15" i="5" s="1"/>
  <c r="M16" i="5"/>
  <c r="O16" i="5" s="1"/>
  <c r="P16" i="5" s="1"/>
  <c r="M17" i="5"/>
  <c r="O17" i="5" s="1"/>
  <c r="P17" i="5" s="1"/>
  <c r="M18" i="5"/>
  <c r="O18" i="5" s="1"/>
  <c r="P18" i="5" s="1"/>
  <c r="M19" i="5"/>
  <c r="O19" i="5" s="1"/>
  <c r="M20" i="5"/>
  <c r="O20" i="5" s="1"/>
  <c r="M21" i="5"/>
  <c r="O21" i="5" s="1"/>
  <c r="Q21" i="5" s="1"/>
  <c r="M22" i="5"/>
  <c r="O22" i="5" s="1"/>
  <c r="Q22" i="5" s="1"/>
  <c r="M23" i="5"/>
  <c r="O23" i="5" s="1"/>
  <c r="Q23" i="5" s="1"/>
  <c r="M24" i="5"/>
  <c r="O24" i="5" s="1"/>
  <c r="Q24" i="5" s="1"/>
  <c r="M25" i="5"/>
  <c r="O25" i="5" s="1"/>
  <c r="Q25" i="5" s="1"/>
  <c r="M26" i="5"/>
  <c r="O26" i="5" s="1"/>
  <c r="Q26" i="5" s="1"/>
  <c r="M27" i="5"/>
  <c r="O27" i="5" s="1"/>
  <c r="Q27" i="5" s="1"/>
  <c r="M28" i="5"/>
  <c r="O28" i="5" s="1"/>
  <c r="Q28" i="5" s="1"/>
  <c r="M29" i="5"/>
  <c r="O29" i="5" s="1"/>
  <c r="M30" i="5"/>
  <c r="O30" i="5" s="1"/>
  <c r="O31" i="5"/>
  <c r="M32" i="5"/>
  <c r="O32" i="5" s="1"/>
  <c r="M33" i="5"/>
  <c r="O33" i="5" s="1"/>
  <c r="M34" i="5"/>
  <c r="O34" i="5" s="1"/>
  <c r="M35" i="5"/>
  <c r="O35" i="5" s="1"/>
  <c r="M36" i="5"/>
  <c r="O36" i="5" s="1"/>
  <c r="M37" i="5"/>
  <c r="O37" i="5" s="1"/>
  <c r="M38" i="5"/>
  <c r="O38" i="5" s="1"/>
  <c r="M39" i="5"/>
  <c r="O39" i="5" s="1"/>
  <c r="M40" i="5"/>
  <c r="O40" i="5" s="1"/>
  <c r="M41" i="5"/>
  <c r="O41" i="5" s="1"/>
  <c r="M42" i="5"/>
  <c r="O42" i="5" s="1"/>
  <c r="M43" i="5"/>
  <c r="O43" i="5" s="1"/>
  <c r="M44" i="5"/>
  <c r="O44" i="5" s="1"/>
  <c r="O45" i="5"/>
  <c r="M46" i="5"/>
  <c r="O46" i="5" s="1"/>
  <c r="M47" i="5"/>
  <c r="O47" i="5" s="1"/>
  <c r="M48" i="5"/>
  <c r="O48" i="5" s="1"/>
  <c r="M49" i="5"/>
  <c r="O49" i="5" s="1"/>
  <c r="M50" i="5"/>
  <c r="O50" i="5" s="1"/>
  <c r="M51" i="5"/>
  <c r="O51" i="5" s="1"/>
  <c r="M52" i="5"/>
  <c r="O52" i="5" s="1"/>
  <c r="M53" i="5"/>
  <c r="O53" i="5" s="1"/>
  <c r="M54" i="5"/>
  <c r="O54" i="5" s="1"/>
  <c r="M55" i="5"/>
  <c r="O55" i="5" s="1"/>
  <c r="M56" i="5"/>
  <c r="O56" i="5" s="1"/>
  <c r="M57" i="5"/>
  <c r="O57" i="5" s="1"/>
  <c r="M58" i="5"/>
  <c r="O58" i="5" s="1"/>
  <c r="M59" i="5"/>
  <c r="O59" i="5" s="1"/>
  <c r="M60" i="5"/>
  <c r="O60" i="5" s="1"/>
  <c r="M61" i="5"/>
  <c r="O61" i="5" s="1"/>
  <c r="M62" i="5"/>
  <c r="O62" i="5" s="1"/>
  <c r="M63" i="5"/>
  <c r="O63" i="5" s="1"/>
  <c r="M64" i="5"/>
  <c r="O64" i="5" s="1"/>
  <c r="M65" i="5"/>
  <c r="O65" i="5" s="1"/>
  <c r="M66" i="5"/>
  <c r="O66" i="5" s="1"/>
  <c r="M67" i="5"/>
  <c r="O67" i="5" s="1"/>
  <c r="M68" i="5"/>
  <c r="O68" i="5" s="1"/>
  <c r="M69" i="5"/>
  <c r="O69" i="5" s="1"/>
  <c r="M70" i="5"/>
  <c r="O70" i="5" s="1"/>
  <c r="M71" i="5"/>
  <c r="O71" i="5" s="1"/>
  <c r="P72" i="5"/>
  <c r="P73" i="5"/>
  <c r="P74" i="5"/>
  <c r="M75" i="5"/>
  <c r="O75" i="5" s="1"/>
  <c r="Q75" i="5" s="1"/>
  <c r="M76" i="5"/>
  <c r="O76" i="5" s="1"/>
  <c r="M77" i="5"/>
  <c r="O77" i="5" s="1"/>
  <c r="M78" i="5"/>
  <c r="O78" i="5" s="1"/>
  <c r="Q78" i="5" s="1"/>
  <c r="M79" i="5"/>
  <c r="O79" i="5" s="1"/>
  <c r="M80" i="5"/>
  <c r="O80" i="5" s="1"/>
  <c r="M81" i="5"/>
  <c r="O81" i="5" s="1"/>
  <c r="M82" i="5"/>
  <c r="O82" i="5" s="1"/>
  <c r="Q82" i="5" s="1"/>
  <c r="M83" i="5"/>
  <c r="O83" i="5" s="1"/>
  <c r="M84" i="5"/>
  <c r="O84" i="5" s="1"/>
  <c r="M85" i="5"/>
  <c r="O85" i="5" s="1"/>
  <c r="M86" i="5"/>
  <c r="O86" i="5" s="1"/>
  <c r="M87" i="5"/>
  <c r="O87" i="5" s="1"/>
  <c r="Q87" i="5" s="1"/>
  <c r="M88" i="5"/>
  <c r="O88" i="5" s="1"/>
  <c r="M89" i="5"/>
  <c r="O89" i="5" s="1"/>
  <c r="M90" i="5"/>
  <c r="O90" i="5" s="1"/>
  <c r="Q90" i="5" s="1"/>
  <c r="M91" i="5"/>
  <c r="O91" i="5" s="1"/>
  <c r="M92" i="5"/>
  <c r="O92" i="5" s="1"/>
  <c r="M93" i="5"/>
  <c r="O93" i="5" s="1"/>
  <c r="M94" i="5"/>
  <c r="O94" i="5" s="1"/>
  <c r="M95" i="5"/>
  <c r="O95" i="5" s="1"/>
  <c r="Q95" i="5" s="1"/>
  <c r="M96" i="5"/>
  <c r="O96" i="5" s="1"/>
  <c r="Q96" i="5" s="1"/>
  <c r="M97" i="5"/>
  <c r="O97" i="5" s="1"/>
  <c r="M98" i="5"/>
  <c r="O98" i="5" s="1"/>
  <c r="M99" i="5"/>
  <c r="O99" i="5" s="1"/>
  <c r="Q99" i="5" s="1"/>
  <c r="M100" i="5"/>
  <c r="O100" i="5" s="1"/>
  <c r="M101" i="5"/>
  <c r="O101" i="5" s="1"/>
  <c r="M102" i="5"/>
  <c r="O102" i="5" s="1"/>
  <c r="M103" i="5"/>
  <c r="O103" i="5" s="1"/>
  <c r="Q103" i="5" s="1"/>
  <c r="M104" i="5"/>
  <c r="O104" i="5" s="1"/>
  <c r="M105" i="5"/>
  <c r="O105" i="5" s="1"/>
  <c r="M106" i="5"/>
  <c r="O106" i="5" s="1"/>
  <c r="M107" i="5"/>
  <c r="O107" i="5" s="1"/>
  <c r="Q107" i="5" s="1"/>
  <c r="M108" i="5"/>
  <c r="O108" i="5" s="1"/>
  <c r="M109" i="5"/>
  <c r="P109" i="5"/>
  <c r="Q109" i="5"/>
  <c r="M110" i="5"/>
  <c r="O110" i="5" s="1"/>
  <c r="Q110" i="5" s="1"/>
  <c r="M111" i="5"/>
  <c r="O111" i="5" s="1"/>
  <c r="Q111" i="5" s="1"/>
  <c r="M112" i="5"/>
  <c r="O112" i="5" s="1"/>
  <c r="M113" i="5"/>
  <c r="O113" i="5" s="1"/>
  <c r="M114" i="5"/>
  <c r="O114" i="5" s="1"/>
  <c r="M115" i="5"/>
  <c r="O115" i="5" s="1"/>
  <c r="M116" i="5"/>
  <c r="O116" i="5" s="1"/>
  <c r="M117" i="5"/>
  <c r="O117" i="5" s="1"/>
  <c r="Q117" i="5" s="1"/>
  <c r="M118" i="5"/>
  <c r="P118" i="5"/>
  <c r="Q118" i="5"/>
  <c r="M119" i="5"/>
  <c r="O119" i="5"/>
  <c r="P120" i="5"/>
  <c r="Q120" i="5"/>
  <c r="P121" i="5"/>
  <c r="M122" i="5"/>
  <c r="O122" i="5" s="1"/>
  <c r="M123" i="5"/>
  <c r="O123" i="5" s="1"/>
  <c r="P124" i="5"/>
  <c r="P125" i="5"/>
  <c r="P126" i="5"/>
  <c r="M145" i="5"/>
  <c r="O145" i="5" s="1"/>
  <c r="Q145" i="5" s="1"/>
  <c r="M146" i="5"/>
  <c r="O146" i="5" s="1"/>
  <c r="M147" i="5"/>
  <c r="O147" i="5" s="1"/>
  <c r="M148" i="5"/>
  <c r="P148" i="5"/>
  <c r="Q148" i="5"/>
  <c r="M149" i="5"/>
  <c r="O149" i="5" s="1"/>
  <c r="P149" i="5" s="1"/>
  <c r="M150" i="5"/>
  <c r="O150" i="5" s="1"/>
  <c r="P150" i="5" s="1"/>
  <c r="M151" i="5"/>
  <c r="O151" i="5" s="1"/>
  <c r="M152" i="5"/>
  <c r="O152" i="5" s="1"/>
  <c r="M153" i="5"/>
  <c r="O153" i="5" s="1"/>
  <c r="M154" i="5"/>
  <c r="O154" i="5" s="1"/>
  <c r="P154" i="5" s="1"/>
  <c r="M155" i="5"/>
  <c r="O155" i="5" s="1"/>
  <c r="M156" i="5"/>
  <c r="O156" i="5" s="1"/>
  <c r="M157" i="5"/>
  <c r="O157" i="5" s="1"/>
  <c r="P157" i="5" s="1"/>
  <c r="Q157" i="5"/>
  <c r="M158" i="5"/>
  <c r="O158" i="5" s="1"/>
  <c r="P158" i="5" s="1"/>
  <c r="M159" i="5"/>
  <c r="O159" i="5" s="1"/>
  <c r="M160" i="5"/>
  <c r="O160" i="5" s="1"/>
  <c r="M161" i="5"/>
  <c r="O161" i="5" s="1"/>
  <c r="P161" i="5" s="1"/>
  <c r="M162" i="5"/>
  <c r="O162" i="5" s="1"/>
  <c r="P162" i="5" s="1"/>
  <c r="M163" i="5"/>
  <c r="O163" i="5" s="1"/>
  <c r="M164" i="5"/>
  <c r="O164" i="5"/>
  <c r="M165" i="5"/>
  <c r="O165" i="5" s="1"/>
  <c r="M166" i="5"/>
  <c r="O166" i="5" s="1"/>
  <c r="P166" i="5" s="1"/>
  <c r="M167" i="5"/>
  <c r="O167" i="5" s="1"/>
  <c r="M168" i="5"/>
  <c r="O168" i="5" s="1"/>
  <c r="M169" i="5"/>
  <c r="O169" i="5" s="1"/>
  <c r="M170" i="5"/>
  <c r="O170" i="5" s="1"/>
  <c r="P170" i="5" s="1"/>
  <c r="M171" i="5"/>
  <c r="O171" i="5" s="1"/>
  <c r="M172" i="5"/>
  <c r="O172" i="5" s="1"/>
  <c r="M173" i="5"/>
  <c r="P173" i="5"/>
  <c r="Q173" i="5"/>
  <c r="M174" i="5"/>
  <c r="O174" i="5" s="1"/>
  <c r="M175" i="5"/>
  <c r="P175" i="5"/>
  <c r="Q175" i="5"/>
  <c r="M176" i="5"/>
  <c r="O176" i="5" s="1"/>
  <c r="M177" i="5"/>
  <c r="O177" i="5" s="1"/>
  <c r="M178" i="5"/>
  <c r="O178" i="5" s="1"/>
  <c r="P179" i="5"/>
  <c r="P180" i="5"/>
  <c r="P181" i="5"/>
  <c r="M182" i="5"/>
  <c r="O182" i="5" s="1"/>
  <c r="M183" i="5"/>
  <c r="O183" i="5" s="1"/>
  <c r="M184" i="5"/>
  <c r="O184" i="5" s="1"/>
  <c r="M185" i="5"/>
  <c r="P185" i="5"/>
  <c r="Q185" i="5"/>
  <c r="M186" i="5"/>
  <c r="O186" i="5" s="1"/>
  <c r="M187" i="5"/>
  <c r="O187" i="5" s="1"/>
  <c r="M188" i="5"/>
  <c r="O188" i="5" s="1"/>
  <c r="M189" i="5"/>
  <c r="O189" i="5" s="1"/>
  <c r="M190" i="5"/>
  <c r="O190" i="5" s="1"/>
  <c r="M191" i="5"/>
  <c r="O191" i="5" s="1"/>
  <c r="M192" i="5"/>
  <c r="O192" i="5" s="1"/>
  <c r="M193" i="5"/>
  <c r="O193" i="5" s="1"/>
  <c r="M194" i="5"/>
  <c r="O194" i="5" s="1"/>
  <c r="M195" i="5"/>
  <c r="O195" i="5" s="1"/>
  <c r="M196" i="5"/>
  <c r="O196" i="5" s="1"/>
  <c r="M197" i="5"/>
  <c r="O197" i="5" s="1"/>
  <c r="M198" i="5"/>
  <c r="O198" i="5" s="1"/>
  <c r="M199" i="5"/>
  <c r="O199" i="5" s="1"/>
  <c r="M200" i="5"/>
  <c r="O200" i="5" s="1"/>
  <c r="M201" i="5"/>
  <c r="O201" i="5" s="1"/>
  <c r="M202" i="5"/>
  <c r="O202" i="5" s="1"/>
  <c r="M203" i="5"/>
  <c r="O203" i="5" s="1"/>
  <c r="M204" i="5"/>
  <c r="O204" i="5" s="1"/>
  <c r="M205" i="5"/>
  <c r="O205" i="5"/>
  <c r="M206" i="5"/>
  <c r="O206" i="5" s="1"/>
  <c r="M207" i="5"/>
  <c r="O207" i="5" s="1"/>
  <c r="M208" i="5"/>
  <c r="O208" i="5" s="1"/>
  <c r="M209" i="5"/>
  <c r="O209" i="5" s="1"/>
  <c r="M210" i="5"/>
  <c r="O210" i="5" s="1"/>
  <c r="M211" i="5"/>
  <c r="O211" i="5" s="1"/>
  <c r="M212" i="5"/>
  <c r="O212" i="5" s="1"/>
  <c r="M213" i="5"/>
  <c r="O213" i="5" s="1"/>
  <c r="M214" i="5"/>
  <c r="O214" i="5" s="1"/>
  <c r="M215" i="5"/>
  <c r="O215" i="5" s="1"/>
  <c r="M216" i="5"/>
  <c r="O216" i="5" s="1"/>
  <c r="P217" i="5"/>
  <c r="P218" i="5"/>
  <c r="P219" i="5"/>
  <c r="P220" i="5"/>
  <c r="P221" i="5"/>
  <c r="P222" i="5"/>
  <c r="P223" i="5"/>
  <c r="P224" i="5"/>
  <c r="P225" i="5"/>
  <c r="P226" i="5"/>
  <c r="P227" i="5"/>
  <c r="P228" i="5"/>
  <c r="M229" i="5"/>
  <c r="P229" i="5"/>
  <c r="Q229" i="5"/>
  <c r="M230" i="5"/>
  <c r="O230" i="5" s="1"/>
  <c r="Q230" i="5" s="1"/>
  <c r="M231" i="5"/>
  <c r="O231" i="5" s="1"/>
  <c r="Q231" i="5" s="1"/>
  <c r="M232" i="5"/>
  <c r="O232" i="5" s="1"/>
  <c r="M233" i="5"/>
  <c r="O233" i="5" s="1"/>
  <c r="Q233" i="5" s="1"/>
  <c r="M234" i="5"/>
  <c r="O234" i="5" s="1"/>
  <c r="Q234" i="5" s="1"/>
  <c r="M235" i="5"/>
  <c r="O235" i="5" s="1"/>
  <c r="Q235" i="5" s="1"/>
  <c r="M236" i="5"/>
  <c r="O236" i="5" s="1"/>
  <c r="M237" i="5"/>
  <c r="O237" i="5" s="1"/>
  <c r="Q237" i="5" s="1"/>
  <c r="M238" i="5"/>
  <c r="O238" i="5" s="1"/>
  <c r="Q238" i="5" s="1"/>
  <c r="M239" i="5"/>
  <c r="O239" i="5" s="1"/>
  <c r="Q239" i="5" s="1"/>
  <c r="M240" i="5"/>
  <c r="O240" i="5" s="1"/>
  <c r="M241" i="5"/>
  <c r="O241" i="5" s="1"/>
  <c r="Q241" i="5" s="1"/>
  <c r="M242" i="5"/>
  <c r="O242" i="5" s="1"/>
  <c r="Q242" i="5" s="1"/>
  <c r="M243" i="5"/>
  <c r="O243" i="5" s="1"/>
  <c r="Q243" i="5" s="1"/>
  <c r="M244" i="5"/>
  <c r="O244" i="5" s="1"/>
  <c r="Q244" i="5" s="1"/>
  <c r="M245" i="5"/>
  <c r="O245" i="5" s="1"/>
  <c r="Q245" i="5" s="1"/>
  <c r="M246" i="5"/>
  <c r="O246" i="5" s="1"/>
  <c r="Q246" i="5" s="1"/>
  <c r="M247" i="5"/>
  <c r="O247" i="5" s="1"/>
  <c r="Q247" i="5" s="1"/>
  <c r="M248" i="5"/>
  <c r="O248" i="5" s="1"/>
  <c r="M249" i="5"/>
  <c r="O249" i="5" s="1"/>
  <c r="Q249" i="5" s="1"/>
  <c r="M250" i="5"/>
  <c r="O250" i="5" s="1"/>
  <c r="M251" i="5"/>
  <c r="O251" i="5" s="1"/>
  <c r="Q251" i="5" s="1"/>
  <c r="M252" i="5"/>
  <c r="O252" i="5" s="1"/>
  <c r="Q252" i="5" s="1"/>
  <c r="M253" i="5"/>
  <c r="O253" i="5" s="1"/>
  <c r="Q253" i="5" s="1"/>
  <c r="M254" i="5"/>
  <c r="O254" i="5" s="1"/>
  <c r="Q254" i="5" s="1"/>
  <c r="M255" i="5"/>
  <c r="O255" i="5" s="1"/>
  <c r="Q255" i="5" s="1"/>
  <c r="M256" i="5"/>
  <c r="O256" i="5" s="1"/>
  <c r="M257" i="5"/>
  <c r="O257" i="5" s="1"/>
  <c r="Q257" i="5" s="1"/>
  <c r="M258" i="5"/>
  <c r="O258" i="5" s="1"/>
  <c r="Q258" i="5" s="1"/>
  <c r="M259" i="5"/>
  <c r="O259" i="5" s="1"/>
  <c r="Q259" i="5" s="1"/>
  <c r="M260" i="5"/>
  <c r="O260" i="5" s="1"/>
  <c r="M261" i="5"/>
  <c r="O261" i="5" s="1"/>
  <c r="Q261" i="5" s="1"/>
  <c r="M262" i="5"/>
  <c r="O262" i="5" s="1"/>
  <c r="Q262" i="5" s="1"/>
  <c r="M263" i="5"/>
  <c r="O263" i="5" s="1"/>
  <c r="Q263" i="5" s="1"/>
  <c r="M264" i="5"/>
  <c r="P264" i="5"/>
  <c r="Q264" i="5"/>
  <c r="M265" i="5"/>
  <c r="O265" i="5" s="1"/>
  <c r="M266" i="5"/>
  <c r="O266" i="5" s="1"/>
  <c r="P266" i="5" s="1"/>
  <c r="M267" i="5"/>
  <c r="O267" i="5" s="1"/>
  <c r="P267" i="5" s="1"/>
  <c r="M268" i="5"/>
  <c r="O268" i="5" s="1"/>
  <c r="M269" i="5"/>
  <c r="O269" i="5" s="1"/>
  <c r="P269" i="5" s="1"/>
  <c r="M270" i="5"/>
  <c r="O270" i="5" s="1"/>
  <c r="M271" i="5"/>
  <c r="O271" i="5" s="1"/>
  <c r="P271" i="5" s="1"/>
  <c r="M272" i="5"/>
  <c r="O272" i="5" s="1"/>
  <c r="M273" i="5"/>
  <c r="O273" i="5" s="1"/>
  <c r="M274" i="5"/>
  <c r="O274" i="5" s="1"/>
  <c r="M275" i="5"/>
  <c r="O275" i="5" s="1"/>
  <c r="P275" i="5" s="1"/>
  <c r="M276" i="5"/>
  <c r="O276" i="5" s="1"/>
  <c r="M277" i="5"/>
  <c r="O277" i="5" s="1"/>
  <c r="M278" i="5"/>
  <c r="O278" i="5" s="1"/>
  <c r="M279" i="5"/>
  <c r="O279" i="5" s="1"/>
  <c r="P279" i="5" s="1"/>
  <c r="M280" i="5"/>
  <c r="O280" i="5" s="1"/>
  <c r="M281" i="5"/>
  <c r="O281" i="5" s="1"/>
  <c r="M282" i="5"/>
  <c r="O282" i="5" s="1"/>
  <c r="M283" i="5"/>
  <c r="O283" i="5" s="1"/>
  <c r="P283" i="5" s="1"/>
  <c r="M284" i="5"/>
  <c r="O284" i="5" s="1"/>
  <c r="P285" i="5"/>
  <c r="M286" i="5"/>
  <c r="O286" i="5" s="1"/>
  <c r="Q286" i="5" s="1"/>
  <c r="M287" i="5"/>
  <c r="O287" i="5" s="1"/>
  <c r="Q287" i="5" s="1"/>
  <c r="M288" i="5"/>
  <c r="O288" i="5" s="1"/>
  <c r="M289" i="5"/>
  <c r="O289" i="5" s="1"/>
  <c r="Q289" i="5" s="1"/>
  <c r="M290" i="5"/>
  <c r="O290" i="5" s="1"/>
  <c r="M291" i="5"/>
  <c r="O291" i="5" s="1"/>
  <c r="M292" i="5"/>
  <c r="O292" i="5" s="1"/>
  <c r="M293" i="5"/>
  <c r="O293" i="5" s="1"/>
  <c r="M294" i="5"/>
  <c r="O294" i="5" s="1"/>
  <c r="M295" i="5"/>
  <c r="O295" i="5" s="1"/>
  <c r="M296" i="5"/>
  <c r="P296" i="5"/>
  <c r="Q296" i="5"/>
  <c r="M297" i="5"/>
  <c r="P297" i="5"/>
  <c r="Q297" i="5"/>
  <c r="M298" i="5"/>
  <c r="O298" i="5" s="1"/>
  <c r="M299" i="5"/>
  <c r="O299" i="5" s="1"/>
  <c r="M300" i="5"/>
  <c r="O300" i="5" s="1"/>
  <c r="Q300" i="5" s="1"/>
  <c r="M301" i="5"/>
  <c r="O301" i="5" s="1"/>
  <c r="M302" i="5"/>
  <c r="O302" i="5" s="1"/>
  <c r="M303" i="5"/>
  <c r="P303" i="5"/>
  <c r="Q303" i="5"/>
  <c r="M304" i="5"/>
  <c r="O304" i="5" s="1"/>
  <c r="P304" i="5" s="1"/>
  <c r="M305" i="5"/>
  <c r="O305" i="5" s="1"/>
  <c r="M306" i="5"/>
  <c r="O306" i="5" s="1"/>
  <c r="P306" i="5" s="1"/>
  <c r="M307" i="5"/>
  <c r="O307" i="5" s="1"/>
  <c r="M308" i="5"/>
  <c r="O308" i="5" s="1"/>
  <c r="P308" i="5" s="1"/>
  <c r="M309" i="5"/>
  <c r="O309" i="5" s="1"/>
  <c r="M310" i="5"/>
  <c r="O310" i="5" s="1"/>
  <c r="P310" i="5" s="1"/>
  <c r="M311" i="5"/>
  <c r="O311" i="5" s="1"/>
  <c r="M312" i="5"/>
  <c r="P312" i="5"/>
  <c r="Q312" i="5"/>
  <c r="P313" i="5"/>
  <c r="P314" i="5"/>
  <c r="P315" i="5"/>
  <c r="P316" i="5"/>
  <c r="P317" i="5"/>
  <c r="P318" i="5"/>
  <c r="P319" i="5"/>
  <c r="P320" i="5"/>
  <c r="P321" i="5"/>
  <c r="P322" i="5"/>
  <c r="P323" i="5"/>
  <c r="M324" i="5"/>
  <c r="O324" i="5" s="1"/>
  <c r="M325" i="5"/>
  <c r="O325" i="5" s="1"/>
  <c r="M326" i="5"/>
  <c r="O326" i="5" s="1"/>
  <c r="M327" i="5"/>
  <c r="O327" i="5" s="1"/>
  <c r="M328" i="5"/>
  <c r="O328" i="5" s="1"/>
  <c r="M329" i="5"/>
  <c r="O329" i="5" s="1"/>
  <c r="M330" i="5"/>
  <c r="O330" i="5" s="1"/>
  <c r="M331" i="5"/>
  <c r="O331" i="5" s="1"/>
  <c r="M332" i="5"/>
  <c r="O332" i="5" s="1"/>
  <c r="M334" i="5"/>
  <c r="O334" i="5" s="1"/>
  <c r="M335" i="5"/>
  <c r="O335" i="5" s="1"/>
  <c r="M336" i="5"/>
  <c r="O336" i="5" s="1"/>
  <c r="M337" i="5"/>
  <c r="O337" i="5" s="1"/>
  <c r="M338" i="5"/>
  <c r="O338" i="5" s="1"/>
  <c r="M339" i="5"/>
  <c r="O339" i="5" s="1"/>
  <c r="M340" i="5"/>
  <c r="O340" i="5" s="1"/>
  <c r="P341" i="5"/>
  <c r="M342" i="5"/>
  <c r="O342" i="5" s="1"/>
  <c r="M343" i="5"/>
  <c r="P343" i="5"/>
  <c r="Q343" i="5"/>
  <c r="M344" i="5"/>
  <c r="O344" i="5" s="1"/>
  <c r="M345" i="5"/>
  <c r="O345" i="5" s="1"/>
  <c r="M346" i="5"/>
  <c r="O346" i="5" s="1"/>
  <c r="M347" i="5"/>
  <c r="O347" i="5" s="1"/>
  <c r="M348" i="5"/>
  <c r="O348" i="5" s="1"/>
  <c r="M349" i="5"/>
  <c r="O349" i="5" s="1"/>
  <c r="M350" i="5"/>
  <c r="O350" i="5" s="1"/>
  <c r="M351" i="5"/>
  <c r="O351" i="5" s="1"/>
  <c r="M352" i="5"/>
  <c r="O352" i="5" s="1"/>
  <c r="P353" i="5"/>
  <c r="M354" i="5"/>
  <c r="P354" i="5"/>
  <c r="Q354" i="5"/>
  <c r="O355" i="5"/>
  <c r="Q355" i="5" s="1"/>
  <c r="O356" i="5"/>
  <c r="P356" i="5" s="1"/>
  <c r="M357" i="5"/>
  <c r="O357" i="5" s="1"/>
  <c r="M358" i="5"/>
  <c r="O358" i="5" s="1"/>
  <c r="P358" i="5" s="1"/>
  <c r="M359" i="5"/>
  <c r="O359" i="5" s="1"/>
  <c r="M360" i="5"/>
  <c r="O360" i="5" s="1"/>
  <c r="P360" i="5" s="1"/>
  <c r="M361" i="5"/>
  <c r="O361" i="5" s="1"/>
  <c r="M362" i="5"/>
  <c r="O362" i="5" s="1"/>
  <c r="P362" i="5" s="1"/>
  <c r="M363" i="5"/>
  <c r="O363" i="5" s="1"/>
  <c r="P364" i="5"/>
  <c r="P365" i="5"/>
  <c r="M366" i="5"/>
  <c r="O366" i="5" s="1"/>
  <c r="M367" i="5"/>
  <c r="O367" i="5" s="1"/>
  <c r="M368" i="5"/>
  <c r="O368" i="5" s="1"/>
  <c r="M369" i="5"/>
  <c r="O369" i="5" s="1"/>
  <c r="M370" i="5"/>
  <c r="P370" i="5"/>
  <c r="Q370" i="5"/>
  <c r="M371" i="5"/>
  <c r="O371" i="5" s="1"/>
  <c r="M372" i="5"/>
  <c r="O372" i="5" s="1"/>
  <c r="Q372" i="5" s="1"/>
  <c r="M373" i="5"/>
  <c r="O373" i="5" s="1"/>
  <c r="M374" i="5"/>
  <c r="O374" i="5" s="1"/>
  <c r="M375" i="5"/>
  <c r="P375" i="5"/>
  <c r="Q375" i="5"/>
  <c r="P376" i="5"/>
  <c r="P377" i="5"/>
  <c r="P378" i="5"/>
  <c r="P379" i="5"/>
  <c r="P380" i="5"/>
  <c r="P381" i="5"/>
  <c r="P382" i="5"/>
  <c r="M383" i="5"/>
  <c r="O383" i="5" s="1"/>
  <c r="M384" i="5"/>
  <c r="O384" i="5" s="1"/>
  <c r="M385" i="5"/>
  <c r="O385" i="5" s="1"/>
  <c r="M386" i="5"/>
  <c r="O386" i="5" s="1"/>
  <c r="M387" i="5"/>
  <c r="P387" i="5"/>
  <c r="Q387" i="5"/>
  <c r="M388" i="5"/>
  <c r="O388" i="5" s="1"/>
  <c r="M389" i="5"/>
  <c r="O389" i="5" s="1"/>
  <c r="M390" i="5"/>
  <c r="O390" i="5" s="1"/>
  <c r="M391" i="5"/>
  <c r="O391" i="5" s="1"/>
  <c r="M392" i="5"/>
  <c r="O392" i="5" s="1"/>
  <c r="P393" i="5"/>
  <c r="P394" i="5"/>
  <c r="P395" i="5"/>
  <c r="P396" i="5"/>
  <c r="P397" i="5"/>
  <c r="P398" i="5"/>
  <c r="M399" i="5"/>
  <c r="O399" i="5" s="1"/>
  <c r="M400" i="5"/>
  <c r="O400" i="5" s="1"/>
  <c r="P400" i="5" s="1"/>
  <c r="M401" i="5"/>
  <c r="O401" i="5" s="1"/>
  <c r="M402" i="5"/>
  <c r="O402" i="5" s="1"/>
  <c r="P402" i="5" s="1"/>
  <c r="M403" i="5"/>
  <c r="O403" i="5" s="1"/>
  <c r="M404" i="5"/>
  <c r="O404" i="5" s="1"/>
  <c r="P404" i="5" s="1"/>
  <c r="P405" i="5"/>
  <c r="P406" i="5"/>
  <c r="P407" i="5"/>
  <c r="P408" i="5"/>
  <c r="M409" i="5"/>
  <c r="P409" i="5"/>
  <c r="Q409" i="5"/>
  <c r="M410" i="5"/>
  <c r="O410" i="5" s="1"/>
  <c r="M411" i="5"/>
  <c r="O411" i="5" s="1"/>
  <c r="M412" i="5"/>
  <c r="O412" i="5" s="1"/>
  <c r="M413" i="5"/>
  <c r="O413" i="5" s="1"/>
  <c r="M414" i="5"/>
  <c r="O414" i="5" s="1"/>
  <c r="P415" i="5"/>
  <c r="P416" i="5"/>
  <c r="P417" i="5"/>
  <c r="P418" i="5"/>
  <c r="P419" i="5"/>
  <c r="P420" i="5"/>
  <c r="P421" i="5"/>
  <c r="P422" i="5"/>
  <c r="P423" i="5"/>
  <c r="M424" i="5"/>
  <c r="O424" i="5" s="1"/>
  <c r="P424" i="5" s="1"/>
  <c r="M425" i="5"/>
  <c r="O425" i="5" s="1"/>
  <c r="P425" i="5" s="1"/>
  <c r="M426" i="5"/>
  <c r="O426" i="5" s="1"/>
  <c r="P426" i="5" s="1"/>
  <c r="M427" i="5"/>
  <c r="O427" i="5" s="1"/>
  <c r="M428" i="5"/>
  <c r="O428" i="5" s="1"/>
  <c r="P428" i="5" s="1"/>
  <c r="M429" i="5"/>
  <c r="O429" i="5" s="1"/>
  <c r="P429" i="5" s="1"/>
  <c r="M430" i="5"/>
  <c r="O430" i="5" s="1"/>
  <c r="P430" i="5" s="1"/>
  <c r="M431" i="5"/>
  <c r="O431" i="5" s="1"/>
  <c r="P431" i="5" s="1"/>
  <c r="M432" i="5"/>
  <c r="P432" i="5"/>
  <c r="Q432" i="5"/>
  <c r="M433" i="5"/>
  <c r="O433" i="5" s="1"/>
  <c r="M434" i="5"/>
  <c r="O434" i="5" s="1"/>
  <c r="M435" i="5"/>
  <c r="O435" i="5" s="1"/>
  <c r="M436" i="5"/>
  <c r="P436" i="5"/>
  <c r="Q436" i="5"/>
  <c r="M437" i="5"/>
  <c r="O437" i="5" s="1"/>
  <c r="M438" i="5"/>
  <c r="O438" i="5" s="1"/>
  <c r="M439" i="5"/>
  <c r="O439" i="5" s="1"/>
  <c r="M440" i="5"/>
  <c r="O440" i="5" s="1"/>
  <c r="M441" i="5"/>
  <c r="O441" i="5" s="1"/>
  <c r="M442" i="5"/>
  <c r="O442" i="5" s="1"/>
  <c r="M443" i="5"/>
  <c r="O443" i="5" s="1"/>
  <c r="M444" i="5"/>
  <c r="O444" i="5" s="1"/>
  <c r="M445" i="5"/>
  <c r="O445" i="5" s="1"/>
  <c r="M446" i="5"/>
  <c r="O446" i="5" s="1"/>
  <c r="M447" i="5"/>
  <c r="O447" i="5" s="1"/>
  <c r="M448" i="5"/>
  <c r="O448" i="5" s="1"/>
  <c r="M449" i="5"/>
  <c r="O449" i="5" s="1"/>
  <c r="M450" i="5"/>
  <c r="O450" i="5" s="1"/>
  <c r="M451" i="5"/>
  <c r="O451" i="5" s="1"/>
  <c r="P452" i="5"/>
  <c r="P453" i="5"/>
  <c r="P454" i="5"/>
  <c r="P455" i="5"/>
  <c r="P456" i="5"/>
  <c r="P457" i="5"/>
  <c r="P458" i="5"/>
  <c r="P459" i="5"/>
  <c r="M460" i="5"/>
  <c r="P460" i="5"/>
  <c r="Q460" i="5"/>
  <c r="M461" i="5"/>
  <c r="O461" i="5" s="1"/>
  <c r="M462" i="5"/>
  <c r="O462" i="5" s="1"/>
  <c r="M463" i="5"/>
  <c r="O463" i="5" s="1"/>
  <c r="M464" i="5"/>
  <c r="O464" i="5" s="1"/>
  <c r="Q464" i="5" s="1"/>
  <c r="M465" i="5"/>
  <c r="O465" i="5" s="1"/>
  <c r="M466" i="5"/>
  <c r="O466" i="5" s="1"/>
  <c r="M467" i="5"/>
  <c r="O467" i="5" s="1"/>
  <c r="M468" i="5"/>
  <c r="P468" i="5"/>
  <c r="Q468" i="5"/>
  <c r="M469" i="5"/>
  <c r="O469" i="5" s="1"/>
  <c r="M470" i="5"/>
  <c r="O470" i="5" s="1"/>
  <c r="M471" i="5"/>
  <c r="P471" i="5"/>
  <c r="Q471" i="5"/>
  <c r="M472" i="5"/>
  <c r="O472" i="5" s="1"/>
  <c r="M473" i="5"/>
  <c r="O473" i="5" s="1"/>
  <c r="M474" i="5"/>
  <c r="P474" i="5"/>
  <c r="Q474" i="5"/>
  <c r="M475" i="5"/>
  <c r="O475" i="5" s="1"/>
  <c r="M476" i="5"/>
  <c r="O476" i="5" s="1"/>
  <c r="M477" i="5"/>
  <c r="O477" i="5" s="1"/>
  <c r="M478" i="5"/>
  <c r="O478" i="5" s="1"/>
  <c r="M479" i="5"/>
  <c r="O479" i="5" s="1"/>
  <c r="M480" i="5"/>
  <c r="O480" i="5" s="1"/>
  <c r="M481" i="5"/>
  <c r="O481" i="5" s="1"/>
  <c r="M482" i="5"/>
  <c r="O482" i="5" s="1"/>
  <c r="M483" i="5"/>
  <c r="O483" i="5" s="1"/>
  <c r="M484" i="5"/>
  <c r="O484" i="5" s="1"/>
  <c r="M485" i="5"/>
  <c r="O485" i="5" s="1"/>
  <c r="M486" i="5"/>
  <c r="O486" i="5" s="1"/>
  <c r="M487" i="5"/>
  <c r="O487" i="5" s="1"/>
  <c r="M488" i="5"/>
  <c r="O488" i="5" s="1"/>
  <c r="M489" i="5"/>
  <c r="O489" i="5" s="1"/>
  <c r="M490" i="5"/>
  <c r="O490" i="5" s="1"/>
  <c r="M491" i="5"/>
  <c r="O491" i="5" s="1"/>
  <c r="M492" i="5"/>
  <c r="O492" i="5" s="1"/>
  <c r="M493" i="5"/>
  <c r="O493" i="5" s="1"/>
  <c r="M494" i="5"/>
  <c r="O494" i="5" s="1"/>
  <c r="M495" i="5"/>
  <c r="O495" i="5" s="1"/>
  <c r="M496" i="5"/>
  <c r="O496" i="5" s="1"/>
  <c r="M497" i="5"/>
  <c r="O497" i="5" s="1"/>
  <c r="M498" i="5"/>
  <c r="O498" i="5" s="1"/>
  <c r="M499" i="5"/>
  <c r="O499" i="5" s="1"/>
  <c r="M500" i="5"/>
  <c r="O500" i="5" s="1"/>
  <c r="M501" i="5"/>
  <c r="O501" i="5" s="1"/>
  <c r="M502" i="5"/>
  <c r="O502" i="5" s="1"/>
  <c r="M503" i="5"/>
  <c r="P503" i="5"/>
  <c r="Q503" i="5"/>
  <c r="M504" i="5"/>
  <c r="O504" i="5" s="1"/>
  <c r="Q504" i="5" s="1"/>
  <c r="P505" i="5"/>
  <c r="M506" i="5"/>
  <c r="O506" i="5" s="1"/>
  <c r="M507" i="5"/>
  <c r="P507" i="5"/>
  <c r="Q507" i="5"/>
  <c r="M508" i="5"/>
  <c r="O508" i="5" s="1"/>
  <c r="M509" i="5"/>
  <c r="O509" i="5" s="1"/>
  <c r="Q509" i="5" s="1"/>
  <c r="M510" i="5"/>
  <c r="P510" i="5"/>
  <c r="Q510" i="5"/>
  <c r="M511" i="5"/>
  <c r="O511" i="5" s="1"/>
  <c r="P511" i="5" s="1"/>
  <c r="P513" i="5"/>
  <c r="P514" i="5"/>
  <c r="M515" i="5"/>
  <c r="O515" i="5" s="1"/>
  <c r="M516" i="5"/>
  <c r="O516" i="5" s="1"/>
  <c r="M517" i="5"/>
  <c r="O517" i="5" s="1"/>
  <c r="M518" i="5"/>
  <c r="O518" i="5" s="1"/>
  <c r="M519" i="5"/>
  <c r="O519" i="5" s="1"/>
  <c r="M520" i="5"/>
  <c r="O520" i="5" s="1"/>
  <c r="M521" i="5"/>
  <c r="O521" i="5" s="1"/>
  <c r="M522" i="5"/>
  <c r="O522" i="5" s="1"/>
  <c r="M523" i="5"/>
  <c r="O523" i="5" s="1"/>
  <c r="M524" i="5"/>
  <c r="O524" i="5" s="1"/>
  <c r="M525" i="5"/>
  <c r="O525" i="5" s="1"/>
  <c r="M526" i="5"/>
  <c r="O526" i="5" s="1"/>
  <c r="M527" i="5"/>
  <c r="O527" i="5" s="1"/>
  <c r="M528" i="5"/>
  <c r="O528" i="5" s="1"/>
  <c r="M529" i="5"/>
  <c r="O529" i="5" s="1"/>
  <c r="M530" i="5"/>
  <c r="O530" i="5" s="1"/>
  <c r="M531" i="5"/>
  <c r="O531" i="5" s="1"/>
  <c r="M532" i="5"/>
  <c r="O532" i="5" s="1"/>
  <c r="M533" i="5"/>
  <c r="O533" i="5" s="1"/>
  <c r="O534" i="5"/>
  <c r="M535" i="5"/>
  <c r="O535" i="5" s="1"/>
  <c r="M536" i="5"/>
  <c r="O536" i="5" s="1"/>
  <c r="M537" i="5"/>
  <c r="O537" i="5" s="1"/>
  <c r="Q537" i="5" s="1"/>
  <c r="M538" i="5"/>
  <c r="O538" i="5" s="1"/>
  <c r="M539" i="5"/>
  <c r="O539" i="5" s="1"/>
  <c r="M540" i="5"/>
  <c r="O540" i="5" s="1"/>
  <c r="Q540" i="5" s="1"/>
  <c r="O541" i="5"/>
  <c r="P541" i="5" s="1"/>
  <c r="M542" i="5"/>
  <c r="O542" i="5" s="1"/>
  <c r="M543" i="5"/>
  <c r="O543" i="5" s="1"/>
  <c r="M544" i="5"/>
  <c r="O544" i="5" s="1"/>
  <c r="M545" i="5"/>
  <c r="O545" i="5" s="1"/>
  <c r="M546" i="5"/>
  <c r="O546" i="5" s="1"/>
  <c r="M547" i="5"/>
  <c r="O547" i="5" s="1"/>
  <c r="M548" i="5"/>
  <c r="O548" i="5" s="1"/>
  <c r="M549" i="5"/>
  <c r="O549" i="5" s="1"/>
  <c r="M550" i="5"/>
  <c r="O550" i="5" s="1"/>
  <c r="M551" i="5"/>
  <c r="O551" i="5" s="1"/>
  <c r="M552" i="5"/>
  <c r="P552" i="5"/>
  <c r="Q552" i="5"/>
  <c r="M553" i="5"/>
  <c r="O553" i="5" s="1"/>
  <c r="P553" i="5" s="1"/>
  <c r="M554" i="5"/>
  <c r="O554" i="5" s="1"/>
  <c r="M555" i="5"/>
  <c r="P555" i="5"/>
  <c r="Q555" i="5"/>
  <c r="M556" i="5"/>
  <c r="O556" i="5" s="1"/>
  <c r="P556" i="5" s="1"/>
  <c r="P557" i="5"/>
  <c r="P558" i="5"/>
  <c r="P559" i="5"/>
  <c r="M560" i="5"/>
  <c r="O560" i="5" s="1"/>
  <c r="M561" i="5"/>
  <c r="O561" i="5" s="1"/>
  <c r="M562" i="5"/>
  <c r="O562" i="5" s="1"/>
  <c r="Q562" i="5" s="1"/>
  <c r="M563" i="5"/>
  <c r="O563" i="5" s="1"/>
  <c r="Q563" i="5" s="1"/>
  <c r="M564" i="5"/>
  <c r="O564" i="5" s="1"/>
  <c r="M565" i="5"/>
  <c r="O565" i="5" s="1"/>
  <c r="M566" i="5"/>
  <c r="O566" i="5" s="1"/>
  <c r="Q566" i="5" s="1"/>
  <c r="M567" i="5"/>
  <c r="O567" i="5" s="1"/>
  <c r="Q567" i="5" s="1"/>
  <c r="M568" i="5"/>
  <c r="P568" i="5"/>
  <c r="Q568" i="5"/>
  <c r="M569" i="5"/>
  <c r="O569" i="5" s="1"/>
  <c r="M570" i="5"/>
  <c r="O570" i="5" s="1"/>
  <c r="M571" i="5"/>
  <c r="P571" i="5"/>
  <c r="Q571" i="5"/>
  <c r="M572" i="5"/>
  <c r="O572" i="5" s="1"/>
  <c r="Q572" i="5" s="1"/>
  <c r="P573" i="5"/>
  <c r="P574" i="5"/>
  <c r="P575" i="5"/>
  <c r="M576" i="5"/>
  <c r="O576" i="5" s="1"/>
  <c r="P576" i="5" s="1"/>
  <c r="M577" i="5"/>
  <c r="O577" i="5" s="1"/>
  <c r="M578" i="5"/>
  <c r="O578" i="5" s="1"/>
  <c r="P578" i="5" s="1"/>
  <c r="M579" i="5"/>
  <c r="O579" i="5" s="1"/>
  <c r="M580" i="5"/>
  <c r="O580" i="5" s="1"/>
  <c r="P580" i="5" s="1"/>
  <c r="M581" i="5"/>
  <c r="O581" i="5" s="1"/>
  <c r="M582" i="5"/>
  <c r="O582" i="5" s="1"/>
  <c r="M583" i="5"/>
  <c r="O583" i="5" s="1"/>
  <c r="M584" i="5"/>
  <c r="O584" i="5" s="1"/>
  <c r="P584" i="5" s="1"/>
  <c r="P585" i="5"/>
  <c r="M586" i="5"/>
  <c r="O586" i="5" s="1"/>
  <c r="Q586" i="5" s="1"/>
  <c r="M587" i="5"/>
  <c r="O587" i="5" s="1"/>
  <c r="Q587" i="5" s="1"/>
  <c r="M588" i="5"/>
  <c r="O588" i="5" s="1"/>
  <c r="M589" i="5"/>
  <c r="O589" i="5" s="1"/>
  <c r="Q589" i="5" s="1"/>
  <c r="M590" i="5"/>
  <c r="O590" i="5" s="1"/>
  <c r="Q590" i="5" s="1"/>
  <c r="M591" i="5"/>
  <c r="O591" i="5" s="1"/>
  <c r="Q591" i="5" s="1"/>
  <c r="M592" i="5"/>
  <c r="O592" i="5" s="1"/>
  <c r="Q592" i="5" s="1"/>
  <c r="M593" i="5"/>
  <c r="O593" i="5" s="1"/>
  <c r="Q593" i="5" s="1"/>
  <c r="M594" i="5"/>
  <c r="O594" i="5" s="1"/>
  <c r="M595" i="5"/>
  <c r="O595" i="5" s="1"/>
  <c r="Q595" i="5" s="1"/>
  <c r="M596" i="5"/>
  <c r="O596" i="5" s="1"/>
  <c r="Q596" i="5" s="1"/>
  <c r="M597" i="5"/>
  <c r="O597" i="5" s="1"/>
  <c r="Q597" i="5" s="1"/>
  <c r="M598" i="5"/>
  <c r="O598" i="5" s="1"/>
  <c r="Q598" i="5" s="1"/>
  <c r="M599" i="5"/>
  <c r="O599" i="5" s="1"/>
  <c r="Q599" i="5" s="1"/>
  <c r="M600" i="5"/>
  <c r="O600" i="5" s="1"/>
  <c r="Q600" i="5" s="1"/>
  <c r="M601" i="5"/>
  <c r="O601" i="5" s="1"/>
  <c r="Q601" i="5" s="1"/>
  <c r="M602" i="5"/>
  <c r="O602" i="5" s="1"/>
  <c r="Q602" i="5" s="1"/>
  <c r="M603" i="5"/>
  <c r="O603" i="5" s="1"/>
  <c r="Q603" i="5" s="1"/>
  <c r="M604" i="5"/>
  <c r="O604" i="5" s="1"/>
  <c r="Q604" i="5" s="1"/>
  <c r="M605" i="5"/>
  <c r="O605" i="5" s="1"/>
  <c r="Q605" i="5" s="1"/>
  <c r="M606" i="5"/>
  <c r="O606" i="5" s="1"/>
  <c r="Q606" i="5" s="1"/>
  <c r="M607" i="5"/>
  <c r="O607" i="5" s="1"/>
  <c r="Q607" i="5" s="1"/>
  <c r="M608" i="5"/>
  <c r="O608" i="5" s="1"/>
  <c r="Q608" i="5" s="1"/>
  <c r="M609" i="5"/>
  <c r="O609" i="5" s="1"/>
  <c r="Q609" i="5" s="1"/>
  <c r="M610" i="5"/>
  <c r="O610" i="5" s="1"/>
  <c r="Q610" i="5" s="1"/>
  <c r="M611" i="5"/>
  <c r="O611" i="5" s="1"/>
  <c r="Q611" i="5" s="1"/>
  <c r="M612" i="5"/>
  <c r="O612" i="5" s="1"/>
  <c r="Q612" i="5" s="1"/>
  <c r="M613" i="5"/>
  <c r="O613" i="5" s="1"/>
  <c r="Q613" i="5" s="1"/>
  <c r="M614" i="5"/>
  <c r="O614" i="5" s="1"/>
  <c r="M615" i="5"/>
  <c r="P615" i="5"/>
  <c r="Q615" i="5"/>
  <c r="M616" i="5"/>
  <c r="P616" i="5"/>
  <c r="Q616" i="5"/>
  <c r="M617" i="5"/>
  <c r="O617" i="5" s="1"/>
  <c r="M618" i="5"/>
  <c r="O618" i="5" s="1"/>
  <c r="M619" i="5"/>
  <c r="O619" i="5" s="1"/>
  <c r="M620" i="5"/>
  <c r="O620" i="5" s="1"/>
  <c r="P621" i="5"/>
  <c r="P622" i="5"/>
  <c r="P623" i="5"/>
  <c r="M624" i="5"/>
  <c r="O624" i="5" s="1"/>
  <c r="M625" i="5"/>
  <c r="O625" i="5" s="1"/>
  <c r="M626" i="5"/>
  <c r="O626" i="5" s="1"/>
  <c r="M627" i="5"/>
  <c r="O627" i="5" s="1"/>
  <c r="M628" i="5"/>
  <c r="O628" i="5" s="1"/>
  <c r="M629" i="5"/>
  <c r="O629" i="5" s="1"/>
  <c r="M630" i="5"/>
  <c r="O630" i="5" s="1"/>
  <c r="M631" i="5"/>
  <c r="O631" i="5" s="1"/>
  <c r="M632" i="5"/>
  <c r="O632" i="5" s="1"/>
  <c r="M633" i="5"/>
  <c r="O633" i="5" s="1"/>
  <c r="M634" i="5"/>
  <c r="O634" i="5" s="1"/>
  <c r="M635" i="5"/>
  <c r="O635" i="5" s="1"/>
  <c r="M636" i="5"/>
  <c r="O636" i="5" s="1"/>
  <c r="M637" i="5"/>
  <c r="O637" i="5" s="1"/>
  <c r="M638" i="5"/>
  <c r="O638" i="5" s="1"/>
  <c r="M639" i="5"/>
  <c r="O639" i="5" s="1"/>
  <c r="M640" i="5"/>
  <c r="P640" i="5"/>
  <c r="Q640" i="5"/>
  <c r="M641" i="5"/>
  <c r="O641" i="5" s="1"/>
  <c r="Q641" i="5" s="1"/>
  <c r="M642" i="5"/>
  <c r="O642" i="5" s="1"/>
  <c r="Q642" i="5" s="1"/>
  <c r="M643" i="5"/>
  <c r="O643" i="5" s="1"/>
  <c r="Q643" i="5" s="1"/>
  <c r="M644" i="5"/>
  <c r="P644" i="5"/>
  <c r="Q644" i="5"/>
  <c r="P645" i="5"/>
  <c r="P646" i="5"/>
  <c r="P647" i="5"/>
  <c r="M648" i="5"/>
  <c r="O648" i="5" s="1"/>
  <c r="M649" i="5"/>
  <c r="P649" i="5"/>
  <c r="Q649" i="5"/>
  <c r="M650" i="5"/>
  <c r="O650" i="5" s="1"/>
  <c r="M651" i="5"/>
  <c r="O651" i="5" s="1"/>
  <c r="M652" i="5"/>
  <c r="O652" i="5" s="1"/>
  <c r="M653" i="5"/>
  <c r="O653" i="5" s="1"/>
  <c r="M654" i="5"/>
  <c r="O654" i="5" s="1"/>
  <c r="M655" i="5"/>
  <c r="O655" i="5" s="1"/>
  <c r="P656" i="5"/>
  <c r="P657" i="5"/>
  <c r="P658" i="5"/>
  <c r="M659" i="5"/>
  <c r="P659" i="5"/>
  <c r="Q659" i="5"/>
  <c r="M660" i="5"/>
  <c r="O660" i="5" s="1"/>
  <c r="P660" i="5" s="1"/>
  <c r="M661" i="5"/>
  <c r="O661" i="5" s="1"/>
  <c r="M662" i="5"/>
  <c r="O662" i="5" s="1"/>
  <c r="M663" i="5"/>
  <c r="P663" i="5"/>
  <c r="Q663" i="5"/>
  <c r="M664" i="5"/>
  <c r="O664" i="5" s="1"/>
  <c r="M665" i="5"/>
  <c r="O665" i="5" s="1"/>
  <c r="M666" i="5"/>
  <c r="P666" i="5"/>
  <c r="Q666" i="5"/>
  <c r="M667" i="5"/>
  <c r="P667" i="5"/>
  <c r="Q667" i="5"/>
  <c r="P668" i="5"/>
  <c r="P669" i="5"/>
  <c r="P670" i="5"/>
  <c r="M671" i="5"/>
  <c r="O671" i="5" s="1"/>
  <c r="P671" i="5" s="1"/>
  <c r="M672" i="5"/>
  <c r="O672" i="5" s="1"/>
  <c r="M673" i="5"/>
  <c r="O673" i="5" s="1"/>
  <c r="P673" i="5" s="1"/>
  <c r="M674" i="5"/>
  <c r="O674" i="5" s="1"/>
  <c r="M675" i="5"/>
  <c r="O675" i="5" s="1"/>
  <c r="M676" i="5"/>
  <c r="O676" i="5" s="1"/>
  <c r="M677" i="5"/>
  <c r="O677" i="5" s="1"/>
  <c r="P677" i="5" s="1"/>
  <c r="M678" i="5"/>
  <c r="O678" i="5" s="1"/>
  <c r="P678" i="5" s="1"/>
  <c r="M679" i="5"/>
  <c r="O679" i="5" s="1"/>
  <c r="M680" i="5"/>
  <c r="O680" i="5" s="1"/>
  <c r="P680" i="5" s="1"/>
  <c r="M681" i="5"/>
  <c r="O681" i="5" s="1"/>
  <c r="P681" i="5" s="1"/>
  <c r="M682" i="5"/>
  <c r="O682" i="5" s="1"/>
  <c r="M683" i="5"/>
  <c r="O683" i="5" s="1"/>
  <c r="P683" i="5" s="1"/>
  <c r="M684" i="5"/>
  <c r="O684" i="5" s="1"/>
  <c r="M685" i="5"/>
  <c r="O685" i="5" s="1"/>
  <c r="P685" i="5" s="1"/>
  <c r="M686" i="5"/>
  <c r="O686" i="5" s="1"/>
  <c r="P686" i="5" s="1"/>
  <c r="M687" i="5"/>
  <c r="O687" i="5" s="1"/>
  <c r="P687" i="5" s="1"/>
  <c r="M688" i="5"/>
  <c r="O688" i="5" s="1"/>
  <c r="M689" i="5"/>
  <c r="P689" i="5"/>
  <c r="Q689" i="5"/>
  <c r="M690" i="5"/>
  <c r="O690" i="5" s="1"/>
  <c r="Q690" i="5" s="1"/>
  <c r="M691" i="5"/>
  <c r="O691" i="5" s="1"/>
  <c r="Q691" i="5" s="1"/>
  <c r="M692" i="5"/>
  <c r="O692" i="5" s="1"/>
  <c r="M693" i="5"/>
  <c r="O693" i="5" s="1"/>
  <c r="Q693" i="5" s="1"/>
  <c r="M694" i="5"/>
  <c r="O694" i="5" s="1"/>
  <c r="Q694" i="5" s="1"/>
  <c r="M695" i="5"/>
  <c r="O695" i="5" s="1"/>
  <c r="Q695" i="5" s="1"/>
  <c r="M696" i="5"/>
  <c r="O696" i="5" s="1"/>
  <c r="Q696" i="5" s="1"/>
  <c r="M697" i="5"/>
  <c r="P697" i="5"/>
  <c r="Q697" i="5"/>
  <c r="M698" i="5"/>
  <c r="O698" i="5" s="1"/>
  <c r="P698" i="5" s="1"/>
  <c r="M699" i="5"/>
  <c r="O699" i="5" s="1"/>
  <c r="P699" i="5" s="1"/>
  <c r="M700" i="5"/>
  <c r="P700" i="5"/>
  <c r="Q700" i="5"/>
  <c r="M701" i="5"/>
  <c r="O701" i="5" s="1"/>
  <c r="Q701" i="5" s="1"/>
  <c r="M702" i="5"/>
  <c r="O702" i="5" s="1"/>
  <c r="Q702" i="5" s="1"/>
  <c r="M703" i="5"/>
  <c r="O703" i="5" s="1"/>
  <c r="Q703" i="5" s="1"/>
  <c r="M704" i="5"/>
  <c r="O704" i="5" s="1"/>
  <c r="Q704" i="5" s="1"/>
  <c r="M705" i="5"/>
  <c r="O705" i="5" s="1"/>
  <c r="Q705" i="5" s="1"/>
  <c r="M706" i="5"/>
  <c r="O706" i="5" s="1"/>
  <c r="Q706" i="5" s="1"/>
  <c r="M707" i="5"/>
  <c r="O707" i="5" s="1"/>
  <c r="Q707" i="5" s="1"/>
  <c r="M708" i="5"/>
  <c r="O708" i="5" s="1"/>
  <c r="Q708" i="5" s="1"/>
  <c r="M709" i="5"/>
  <c r="O709" i="5" s="1"/>
  <c r="Q709" i="5" s="1"/>
  <c r="M710" i="5"/>
  <c r="O710" i="5" s="1"/>
  <c r="Q710" i="5" s="1"/>
  <c r="M711" i="5"/>
  <c r="O711" i="5" s="1"/>
  <c r="Q711" i="5" s="1"/>
  <c r="M712" i="5"/>
  <c r="O712" i="5" s="1"/>
  <c r="Q712" i="5" s="1"/>
  <c r="M713" i="5"/>
  <c r="O713" i="5" s="1"/>
  <c r="Q713" i="5" s="1"/>
  <c r="M714" i="5"/>
  <c r="O714" i="5" s="1"/>
  <c r="Q714" i="5" s="1"/>
  <c r="M715" i="5"/>
  <c r="O715" i="5" s="1"/>
  <c r="Q715" i="5" s="1"/>
  <c r="M716" i="5"/>
  <c r="O716" i="5" s="1"/>
  <c r="Q716" i="5" s="1"/>
  <c r="M717" i="5"/>
  <c r="O717" i="5" s="1"/>
  <c r="Q717" i="5" s="1"/>
  <c r="M718" i="5"/>
  <c r="O718" i="5" s="1"/>
  <c r="Q718" i="5" s="1"/>
  <c r="M719" i="5"/>
  <c r="O719" i="5" s="1"/>
  <c r="Q719" i="5" s="1"/>
  <c r="M720" i="5"/>
  <c r="O720" i="5" s="1"/>
  <c r="Q720" i="5" s="1"/>
  <c r="M721" i="5"/>
  <c r="O721" i="5" s="1"/>
  <c r="Q721" i="5" s="1"/>
  <c r="M722" i="5"/>
  <c r="O722" i="5" s="1"/>
  <c r="Q722" i="5" s="1"/>
  <c r="M723" i="5"/>
  <c r="P723" i="5"/>
  <c r="Q723" i="5"/>
  <c r="M724" i="5"/>
  <c r="P724" i="5"/>
  <c r="Q724" i="5"/>
  <c r="M725" i="5"/>
  <c r="O725" i="5" s="1"/>
  <c r="Q725" i="5" s="1"/>
  <c r="M726" i="5"/>
  <c r="O726" i="5" s="1"/>
  <c r="Q726" i="5" s="1"/>
  <c r="M727" i="5"/>
  <c r="O727" i="5" s="1"/>
  <c r="Q727" i="5" s="1"/>
  <c r="M728" i="5"/>
  <c r="O728" i="5" s="1"/>
  <c r="Q728" i="5" s="1"/>
  <c r="M729" i="5"/>
  <c r="P729" i="5"/>
  <c r="Q729" i="5"/>
  <c r="M730" i="5"/>
  <c r="P730" i="5"/>
  <c r="Q730" i="5"/>
  <c r="P731" i="5"/>
  <c r="P732" i="5"/>
  <c r="M733" i="5"/>
  <c r="O733" i="5" s="1"/>
  <c r="Q733" i="5" s="1"/>
  <c r="O734" i="5"/>
  <c r="P734" i="5" s="1"/>
  <c r="M735" i="5"/>
  <c r="O735" i="5" s="1"/>
  <c r="M736" i="5"/>
  <c r="O736" i="5" s="1"/>
  <c r="P736" i="5" s="1"/>
  <c r="M737" i="5"/>
  <c r="O737" i="5" s="1"/>
  <c r="M738" i="5"/>
  <c r="O738" i="5" s="1"/>
  <c r="P738" i="5" s="1"/>
  <c r="M739" i="5"/>
  <c r="O739" i="5" s="1"/>
  <c r="M740" i="5"/>
  <c r="O740" i="5" s="1"/>
  <c r="P740" i="5" s="1"/>
  <c r="M741" i="5"/>
  <c r="O741" i="5" s="1"/>
  <c r="P741" i="5" s="1"/>
  <c r="M742" i="5"/>
  <c r="O742" i="5" s="1"/>
  <c r="P742" i="5" s="1"/>
  <c r="M743" i="5"/>
  <c r="O743" i="5" s="1"/>
  <c r="M744" i="5"/>
  <c r="O744" i="5" s="1"/>
  <c r="P744" i="5" s="1"/>
  <c r="M745" i="5"/>
  <c r="P745" i="5"/>
  <c r="Q745" i="5"/>
  <c r="M746" i="5"/>
  <c r="O746" i="5" s="1"/>
  <c r="Q746" i="5" s="1"/>
  <c r="M747" i="5"/>
  <c r="O747" i="5" s="1"/>
  <c r="Q747" i="5" s="1"/>
  <c r="M748" i="5"/>
  <c r="O748" i="5" s="1"/>
  <c r="Q748" i="5" s="1"/>
  <c r="M749" i="5"/>
  <c r="O749" i="5" s="1"/>
  <c r="Q749" i="5" s="1"/>
  <c r="P750" i="5"/>
  <c r="P751" i="5"/>
  <c r="P752" i="5"/>
  <c r="M753" i="5"/>
  <c r="O753" i="5" s="1"/>
  <c r="P753" i="5" s="1"/>
  <c r="M754" i="5"/>
  <c r="O754" i="5" s="1"/>
  <c r="P754" i="5" s="1"/>
  <c r="M755" i="5"/>
  <c r="O755" i="5" s="1"/>
  <c r="M756" i="5"/>
  <c r="O756" i="5" s="1"/>
  <c r="P756" i="5" s="1"/>
  <c r="M757" i="5"/>
  <c r="P757" i="5"/>
  <c r="Q757" i="5"/>
  <c r="M758" i="5"/>
  <c r="O758" i="5" s="1"/>
  <c r="Q758" i="5" s="1"/>
  <c r="M759" i="5"/>
  <c r="O759" i="5" s="1"/>
  <c r="Q759" i="5" s="1"/>
  <c r="M760" i="5"/>
  <c r="P760" i="5"/>
  <c r="Q760" i="5"/>
  <c r="M761" i="5"/>
  <c r="P761" i="5"/>
  <c r="Q761" i="5"/>
  <c r="P762" i="5"/>
  <c r="P763" i="5"/>
  <c r="P764" i="5"/>
  <c r="P765" i="5"/>
  <c r="P766" i="5"/>
  <c r="P767" i="5"/>
  <c r="P768" i="5"/>
  <c r="P769" i="5"/>
  <c r="P770" i="5"/>
  <c r="P771" i="5"/>
  <c r="P772" i="5"/>
  <c r="P773" i="5"/>
  <c r="P774" i="5"/>
  <c r="P775" i="5"/>
  <c r="P776" i="5"/>
  <c r="P777" i="5"/>
  <c r="P778" i="5"/>
  <c r="P779" i="5"/>
  <c r="P780" i="5"/>
  <c r="P781" i="5"/>
  <c r="P782" i="5"/>
  <c r="P783" i="5"/>
  <c r="P784" i="5"/>
  <c r="M785" i="5"/>
  <c r="O785" i="5" s="1"/>
  <c r="P785" i="5" s="1"/>
  <c r="M786" i="5"/>
  <c r="O786" i="5" s="1"/>
  <c r="P786" i="5" s="1"/>
  <c r="M787" i="5"/>
  <c r="O787" i="5" s="1"/>
  <c r="P787" i="5" s="1"/>
  <c r="M788" i="5"/>
  <c r="P788" i="5"/>
  <c r="Q788" i="5"/>
  <c r="M789" i="5"/>
  <c r="O789" i="5" s="1"/>
  <c r="Q789" i="5" s="1"/>
  <c r="M790" i="5"/>
  <c r="O790" i="5" s="1"/>
  <c r="Q790" i="5" s="1"/>
  <c r="M791" i="5"/>
  <c r="P791" i="5"/>
  <c r="Q791" i="5"/>
  <c r="M792" i="5"/>
  <c r="O792" i="5" s="1"/>
  <c r="P792" i="5" s="1"/>
  <c r="M793" i="5"/>
  <c r="P793" i="5"/>
  <c r="Q793" i="5"/>
  <c r="M794" i="5"/>
  <c r="O794" i="5" s="1"/>
  <c r="Q794" i="5" s="1"/>
  <c r="M795" i="5"/>
  <c r="O795" i="5" s="1"/>
  <c r="Q795" i="5" s="1"/>
  <c r="M796" i="5"/>
  <c r="O796" i="5" s="1"/>
  <c r="Q796" i="5" s="1"/>
  <c r="M797" i="5"/>
  <c r="O797" i="5" s="1"/>
  <c r="Q797" i="5" s="1"/>
  <c r="M798" i="5"/>
  <c r="O798" i="5" s="1"/>
  <c r="Q798" i="5" s="1"/>
  <c r="M799" i="5"/>
  <c r="O799" i="5" s="1"/>
  <c r="Q799" i="5" s="1"/>
  <c r="M800" i="5"/>
  <c r="O800" i="5" s="1"/>
  <c r="Q800" i="5" s="1"/>
  <c r="M801" i="5"/>
  <c r="O801" i="5" s="1"/>
  <c r="Q801" i="5" s="1"/>
  <c r="M802" i="5"/>
  <c r="O802" i="5" s="1"/>
  <c r="Q802" i="5" s="1"/>
  <c r="M803" i="5"/>
  <c r="O803" i="5" s="1"/>
  <c r="Q803" i="5" s="1"/>
  <c r="M804" i="5"/>
  <c r="O804" i="5" s="1"/>
  <c r="Q804" i="5" s="1"/>
  <c r="M805" i="5"/>
  <c r="O805" i="5" s="1"/>
  <c r="Q805" i="5" s="1"/>
  <c r="M806" i="5"/>
  <c r="O806" i="5" s="1"/>
  <c r="Q806" i="5" s="1"/>
  <c r="M807" i="5"/>
  <c r="O807" i="5" s="1"/>
  <c r="Q807" i="5" s="1"/>
  <c r="M808" i="5"/>
  <c r="O808" i="5" s="1"/>
  <c r="Q808" i="5" s="1"/>
  <c r="M809" i="5"/>
  <c r="O809" i="5" s="1"/>
  <c r="Q809" i="5" s="1"/>
  <c r="M810" i="5"/>
  <c r="P810" i="5"/>
  <c r="Q810" i="5"/>
  <c r="M811" i="5"/>
  <c r="O811" i="5" s="1"/>
  <c r="M812" i="5"/>
  <c r="O812" i="5" s="1"/>
  <c r="P812" i="5" s="1"/>
  <c r="M813" i="5"/>
  <c r="O813" i="5" s="1"/>
  <c r="M814" i="5"/>
  <c r="O814" i="5" s="1"/>
  <c r="P814" i="5" s="1"/>
  <c r="M815" i="5"/>
  <c r="O815" i="5" s="1"/>
  <c r="M816" i="5"/>
  <c r="O816" i="5" s="1"/>
  <c r="M817" i="5"/>
  <c r="O817" i="5" s="1"/>
  <c r="P817" i="5" s="1"/>
  <c r="M818" i="5"/>
  <c r="O818" i="5" s="1"/>
  <c r="M819" i="5"/>
  <c r="O819" i="5" s="1"/>
  <c r="M820" i="5"/>
  <c r="O820" i="5" s="1"/>
  <c r="M821" i="5"/>
  <c r="O821" i="5" s="1"/>
  <c r="P821" i="5" s="1"/>
  <c r="M822" i="5"/>
  <c r="O822" i="5" s="1"/>
  <c r="P822" i="5" s="1"/>
  <c r="M823" i="5"/>
  <c r="O823" i="5" s="1"/>
  <c r="M824" i="5"/>
  <c r="O824" i="5" s="1"/>
  <c r="M825" i="5"/>
  <c r="O825" i="5" s="1"/>
  <c r="P825" i="5" s="1"/>
  <c r="M826" i="5"/>
  <c r="O826" i="5" s="1"/>
  <c r="P826" i="5" s="1"/>
  <c r="M827" i="5"/>
  <c r="O827" i="5" s="1"/>
  <c r="M828" i="5"/>
  <c r="O828" i="5" s="1"/>
  <c r="M829" i="5"/>
  <c r="P829" i="5"/>
  <c r="Q829" i="5"/>
  <c r="M830" i="5"/>
  <c r="P830" i="5"/>
  <c r="Q830" i="5"/>
  <c r="M831" i="5"/>
  <c r="O831" i="5" s="1"/>
  <c r="P831" i="5" s="1"/>
  <c r="M832" i="5"/>
  <c r="O832" i="5" s="1"/>
  <c r="P832" i="5" s="1"/>
  <c r="M833" i="5"/>
  <c r="P833" i="5"/>
  <c r="Q833" i="5"/>
  <c r="M834" i="5"/>
  <c r="P834" i="5"/>
  <c r="Q834" i="5"/>
  <c r="P835" i="5"/>
  <c r="M836" i="5"/>
  <c r="P836" i="5"/>
  <c r="Q836" i="5"/>
  <c r="M837" i="5"/>
  <c r="O837" i="5" s="1"/>
  <c r="P837" i="5" s="1"/>
  <c r="M838" i="5"/>
  <c r="O838" i="5" s="1"/>
  <c r="M839" i="5"/>
  <c r="O839" i="5" s="1"/>
  <c r="P839" i="5" s="1"/>
  <c r="M840" i="5"/>
  <c r="O840" i="5" s="1"/>
  <c r="M841" i="5"/>
  <c r="O841" i="5" s="1"/>
  <c r="P841" i="5" s="1"/>
  <c r="M842" i="5"/>
  <c r="O842" i="5" s="1"/>
  <c r="M843" i="5"/>
  <c r="O843" i="5" s="1"/>
  <c r="M844" i="5"/>
  <c r="P844" i="5"/>
  <c r="Q844" i="5"/>
  <c r="M845" i="5"/>
  <c r="O845" i="5" s="1"/>
  <c r="M846" i="5"/>
  <c r="O846" i="5" s="1"/>
  <c r="M847" i="5"/>
  <c r="O847" i="5" s="1"/>
  <c r="M848" i="5"/>
  <c r="O848" i="5" s="1"/>
  <c r="M849" i="5"/>
  <c r="O849" i="5" s="1"/>
  <c r="M850" i="5"/>
  <c r="P850" i="5"/>
  <c r="Q850" i="5"/>
  <c r="M851" i="5"/>
  <c r="O851" i="5" s="1"/>
  <c r="P851" i="5" s="1"/>
  <c r="M852" i="5"/>
  <c r="O852" i="5" s="1"/>
  <c r="P852" i="5" s="1"/>
  <c r="M853" i="5"/>
  <c r="P853" i="5"/>
  <c r="Q853" i="5"/>
  <c r="M854" i="5"/>
  <c r="O854" i="5" s="1"/>
  <c r="P855" i="5"/>
  <c r="P856" i="5"/>
  <c r="P857" i="5"/>
  <c r="M858" i="5"/>
  <c r="O858" i="5" s="1"/>
  <c r="M859" i="5"/>
  <c r="O859" i="5" s="1"/>
  <c r="P859" i="5" s="1"/>
  <c r="M860" i="5"/>
  <c r="O860" i="5" s="1"/>
  <c r="M861" i="5"/>
  <c r="O861" i="5" s="1"/>
  <c r="P861" i="5" s="1"/>
  <c r="M862" i="5"/>
  <c r="O862" i="5" s="1"/>
  <c r="P862" i="5" s="1"/>
  <c r="M863" i="5"/>
  <c r="O863" i="5" s="1"/>
  <c r="M864" i="5"/>
  <c r="O864" i="5" s="1"/>
  <c r="M865" i="5"/>
  <c r="O865" i="5" s="1"/>
  <c r="P865" i="5" s="1"/>
  <c r="M866" i="5"/>
  <c r="O866" i="5" s="1"/>
  <c r="M867" i="5"/>
  <c r="O867" i="5" s="1"/>
  <c r="M868" i="5"/>
  <c r="O868" i="5" s="1"/>
  <c r="M869" i="5"/>
  <c r="O869" i="5" s="1"/>
  <c r="P869" i="5" s="1"/>
  <c r="M870" i="5"/>
  <c r="O870" i="5" s="1"/>
  <c r="P870" i="5" s="1"/>
  <c r="M871" i="5"/>
  <c r="O871" i="5" s="1"/>
  <c r="M872" i="5"/>
  <c r="O872" i="5" s="1"/>
  <c r="M873" i="5"/>
  <c r="P873" i="5"/>
  <c r="Q873" i="5"/>
  <c r="M874" i="5"/>
  <c r="O874" i="5" s="1"/>
  <c r="M875" i="5"/>
  <c r="P875" i="5"/>
  <c r="Q875" i="5"/>
  <c r="M876" i="5"/>
  <c r="P876" i="5"/>
  <c r="Q876" i="5"/>
  <c r="M877" i="5"/>
  <c r="O877" i="5" s="1"/>
  <c r="M878" i="5"/>
  <c r="O878" i="5" s="1"/>
  <c r="Q878" i="5" s="1"/>
  <c r="M879" i="5"/>
  <c r="O879" i="5" s="1"/>
  <c r="M880" i="5"/>
  <c r="O880" i="5" s="1"/>
  <c r="Q880" i="5" s="1"/>
  <c r="M881" i="5"/>
  <c r="O881" i="5" s="1"/>
  <c r="Q881" i="5" s="1"/>
  <c r="M882" i="5"/>
  <c r="O882" i="5" s="1"/>
  <c r="Q882" i="5" s="1"/>
  <c r="M883" i="5"/>
  <c r="O883" i="5" s="1"/>
  <c r="M884" i="5"/>
  <c r="O884" i="5" s="1"/>
  <c r="Q884" i="5" s="1"/>
  <c r="M885" i="5"/>
  <c r="O885" i="5" s="1"/>
  <c r="M886" i="5"/>
  <c r="O886" i="5" s="1"/>
  <c r="Q886" i="5" s="1"/>
  <c r="M887" i="5"/>
  <c r="O887" i="5" s="1"/>
  <c r="M888" i="5"/>
  <c r="O888" i="5" s="1"/>
  <c r="Q888" i="5" s="1"/>
  <c r="M889" i="5"/>
  <c r="O889" i="5" s="1"/>
  <c r="Q889" i="5" s="1"/>
  <c r="M890" i="5"/>
  <c r="O890" i="5" s="1"/>
  <c r="M891" i="5"/>
  <c r="O891" i="5" s="1"/>
  <c r="M892" i="5"/>
  <c r="O892" i="5" s="1"/>
  <c r="Q892" i="5" s="1"/>
  <c r="M893" i="5"/>
  <c r="O893" i="5" s="1"/>
  <c r="M894" i="5"/>
  <c r="O894" i="5" s="1"/>
  <c r="M895" i="5"/>
  <c r="P895" i="5"/>
  <c r="Q895" i="5"/>
  <c r="M896" i="5"/>
  <c r="O896" i="5" s="1"/>
  <c r="P896" i="5" s="1"/>
  <c r="M897" i="5"/>
  <c r="O897" i="5" s="1"/>
  <c r="P897" i="5" s="1"/>
  <c r="M898" i="5"/>
  <c r="P898" i="5"/>
  <c r="Q898" i="5"/>
  <c r="M899" i="5"/>
  <c r="O899" i="5" s="1"/>
  <c r="P900" i="5"/>
  <c r="P901" i="5"/>
  <c r="P902" i="5"/>
  <c r="M903" i="5"/>
  <c r="P903" i="5"/>
  <c r="Q903" i="5"/>
  <c r="M904" i="5"/>
  <c r="O904" i="5" s="1"/>
  <c r="M905" i="5"/>
  <c r="P905" i="5"/>
  <c r="Q905" i="5"/>
  <c r="M906" i="5"/>
  <c r="O906" i="5"/>
  <c r="P906" i="5" s="1"/>
  <c r="M907" i="5"/>
  <c r="O907" i="5" s="1"/>
  <c r="P907" i="5" s="1"/>
  <c r="M908" i="5"/>
  <c r="O908" i="5" s="1"/>
  <c r="P908" i="5" s="1"/>
  <c r="M909" i="5"/>
  <c r="P909" i="5"/>
  <c r="Q909" i="5"/>
  <c r="O910" i="5"/>
  <c r="P910" i="5" s="1"/>
  <c r="R910" i="5"/>
  <c r="O141" i="2"/>
  <c r="O142" i="2"/>
  <c r="O143" i="2"/>
  <c r="O144" i="2"/>
  <c r="O140" i="2"/>
  <c r="O138" i="2"/>
  <c r="O137" i="2"/>
  <c r="O139" i="2"/>
  <c r="O130" i="2"/>
  <c r="O131" i="2"/>
  <c r="O132" i="2"/>
  <c r="O133" i="2"/>
  <c r="O134" i="2"/>
  <c r="O135" i="2"/>
  <c r="O129" i="2"/>
  <c r="O15" i="2"/>
  <c r="P15" i="2" l="1"/>
  <c r="P129" i="2"/>
  <c r="P134" i="2"/>
  <c r="P133" i="2"/>
  <c r="P130" i="2"/>
  <c r="P137" i="2"/>
  <c r="P138" i="2"/>
  <c r="P142" i="2"/>
  <c r="P141" i="2"/>
  <c r="P228" i="2"/>
  <c r="P227" i="2"/>
  <c r="P226" i="2"/>
  <c r="P218" i="2"/>
  <c r="P915" i="2"/>
  <c r="P140" i="2"/>
  <c r="P219" i="2"/>
  <c r="P132" i="2"/>
  <c r="P143" i="2"/>
  <c r="P139" i="2"/>
  <c r="P135" i="2"/>
  <c r="P131" i="2"/>
  <c r="P127" i="2"/>
  <c r="P224" i="2"/>
  <c r="P333" i="2"/>
  <c r="P144" i="2"/>
  <c r="P223" i="2"/>
  <c r="P222" i="2"/>
  <c r="P221" i="2"/>
  <c r="P612" i="5"/>
  <c r="Q269" i="5"/>
  <c r="P566" i="5"/>
  <c r="Q429" i="5"/>
  <c r="Q462" i="5"/>
  <c r="P462" i="5"/>
  <c r="P25" i="5"/>
  <c r="P806" i="5"/>
  <c r="P739" i="5"/>
  <c r="Q739" i="5"/>
  <c r="P737" i="5"/>
  <c r="Q737" i="5"/>
  <c r="P661" i="5"/>
  <c r="Q661" i="5"/>
  <c r="P747" i="5"/>
  <c r="Q541" i="5"/>
  <c r="P800" i="5"/>
  <c r="P749" i="5"/>
  <c r="P590" i="5"/>
  <c r="P286" i="5"/>
  <c r="P27" i="5"/>
  <c r="Q17" i="5"/>
  <c r="Q822" i="5"/>
  <c r="P798" i="5"/>
  <c r="Q671" i="5"/>
  <c r="P606" i="5"/>
  <c r="P23" i="5"/>
  <c r="Q535" i="5"/>
  <c r="P535" i="5"/>
  <c r="Q893" i="5"/>
  <c r="P893" i="5"/>
  <c r="P866" i="5"/>
  <c r="Q866" i="5"/>
  <c r="P827" i="5"/>
  <c r="Q827" i="5"/>
  <c r="P818" i="5"/>
  <c r="Q818" i="5"/>
  <c r="P674" i="5"/>
  <c r="Q674" i="5"/>
  <c r="P662" i="5"/>
  <c r="Q662" i="5"/>
  <c r="P19" i="5"/>
  <c r="Q19" i="5"/>
  <c r="P842" i="5"/>
  <c r="Q842" i="5"/>
  <c r="P823" i="5"/>
  <c r="Q823" i="5"/>
  <c r="P672" i="5"/>
  <c r="Q672" i="5"/>
  <c r="P282" i="5"/>
  <c r="Q282" i="5"/>
  <c r="Q894" i="5"/>
  <c r="P894" i="5"/>
  <c r="Q904" i="5"/>
  <c r="P904" i="5"/>
  <c r="Q877" i="5"/>
  <c r="P877" i="5"/>
  <c r="P277" i="5"/>
  <c r="Q277" i="5"/>
  <c r="P274" i="5"/>
  <c r="Q274" i="5"/>
  <c r="P808" i="5"/>
  <c r="P802" i="5"/>
  <c r="P759" i="5"/>
  <c r="P694" i="5"/>
  <c r="P602" i="5"/>
  <c r="P596" i="5"/>
  <c r="P252" i="5"/>
  <c r="P234" i="5"/>
  <c r="P96" i="5"/>
  <c r="P889" i="5"/>
  <c r="P882" i="5"/>
  <c r="P878" i="5"/>
  <c r="Q787" i="5"/>
  <c r="Q785" i="5"/>
  <c r="P690" i="5"/>
  <c r="Q678" i="5"/>
  <c r="P610" i="5"/>
  <c r="P604" i="5"/>
  <c r="P598" i="5"/>
  <c r="P355" i="5"/>
  <c r="P262" i="5"/>
  <c r="P244" i="5"/>
  <c r="P111" i="5"/>
  <c r="P75" i="5"/>
  <c r="P21" i="5"/>
  <c r="P867" i="5"/>
  <c r="Q867" i="5"/>
  <c r="P819" i="5"/>
  <c r="Q819" i="5"/>
  <c r="P811" i="5"/>
  <c r="Q811" i="5"/>
  <c r="P871" i="5"/>
  <c r="Q871" i="5"/>
  <c r="P843" i="5"/>
  <c r="Q843" i="5"/>
  <c r="Q890" i="5"/>
  <c r="P890" i="5"/>
  <c r="P838" i="5"/>
  <c r="Q838" i="5"/>
  <c r="Q885" i="5"/>
  <c r="P885" i="5"/>
  <c r="P813" i="5"/>
  <c r="Q813" i="5"/>
  <c r="Q469" i="5"/>
  <c r="P469" i="5"/>
  <c r="Q86" i="5"/>
  <c r="P86" i="5"/>
  <c r="Q45" i="5"/>
  <c r="P45" i="5"/>
  <c r="P31" i="5"/>
  <c r="Q31" i="5"/>
  <c r="Q461" i="5"/>
  <c r="P461" i="5"/>
  <c r="Q301" i="5"/>
  <c r="P301" i="5"/>
  <c r="Q294" i="5"/>
  <c r="P294" i="5"/>
  <c r="P176" i="5"/>
  <c r="Q176" i="5"/>
  <c r="Q146" i="5"/>
  <c r="P146" i="5"/>
  <c r="Q104" i="5"/>
  <c r="P104" i="5"/>
  <c r="Q288" i="5"/>
  <c r="P288" i="5"/>
  <c r="P112" i="5"/>
  <c r="Q112" i="5"/>
  <c r="P688" i="5"/>
  <c r="Q688" i="5"/>
  <c r="P675" i="5"/>
  <c r="Q675" i="5"/>
  <c r="Q588" i="5"/>
  <c r="P588" i="5"/>
  <c r="Q470" i="5"/>
  <c r="P470" i="5"/>
  <c r="Q465" i="5"/>
  <c r="P465" i="5"/>
  <c r="P427" i="5"/>
  <c r="Q427" i="5"/>
  <c r="Q236" i="5"/>
  <c r="P236" i="5"/>
  <c r="Q106" i="5"/>
  <c r="P106" i="5"/>
  <c r="Q98" i="5"/>
  <c r="P98" i="5"/>
  <c r="Q614" i="5"/>
  <c r="P614" i="5"/>
  <c r="Q260" i="5"/>
  <c r="P260" i="5"/>
  <c r="P886" i="5"/>
  <c r="P881" i="5"/>
  <c r="Q862" i="5"/>
  <c r="Q839" i="5"/>
  <c r="Q826" i="5"/>
  <c r="P804" i="5"/>
  <c r="P796" i="5"/>
  <c r="Q692" i="5"/>
  <c r="P692" i="5"/>
  <c r="Q594" i="5"/>
  <c r="P594" i="5"/>
  <c r="P577" i="5"/>
  <c r="Q577" i="5"/>
  <c r="Q534" i="5"/>
  <c r="P534" i="5"/>
  <c r="Q373" i="5"/>
  <c r="P373" i="5"/>
  <c r="Q250" i="5"/>
  <c r="P250" i="5"/>
  <c r="P177" i="5"/>
  <c r="Q177" i="5"/>
  <c r="Q147" i="5"/>
  <c r="P147" i="5"/>
  <c r="P28" i="5"/>
  <c r="P26" i="5"/>
  <c r="P24" i="5"/>
  <c r="P22" i="5"/>
  <c r="Q18" i="5"/>
  <c r="Q16" i="5"/>
  <c r="P586" i="5"/>
  <c r="Q356" i="5"/>
  <c r="P863" i="5"/>
  <c r="Q863" i="5"/>
  <c r="P581" i="5"/>
  <c r="Q581" i="5"/>
  <c r="Q508" i="5"/>
  <c r="P508" i="5"/>
  <c r="Q466" i="5"/>
  <c r="P466" i="5"/>
  <c r="Q83" i="5"/>
  <c r="P83" i="5"/>
  <c r="P30" i="5"/>
  <c r="Q30" i="5"/>
  <c r="P858" i="5"/>
  <c r="Q858" i="5"/>
  <c r="Q113" i="5"/>
  <c r="P113" i="5"/>
  <c r="Q79" i="5"/>
  <c r="P79" i="5"/>
  <c r="P29" i="5"/>
  <c r="Q29" i="5"/>
  <c r="P684" i="5"/>
  <c r="Q684" i="5"/>
  <c r="P582" i="5"/>
  <c r="Q582" i="5"/>
  <c r="Q116" i="5"/>
  <c r="P116" i="5"/>
  <c r="P20" i="5"/>
  <c r="Q20" i="5"/>
  <c r="P702" i="5"/>
  <c r="Q431" i="5"/>
  <c r="P110" i="5"/>
  <c r="Q870" i="5"/>
  <c r="Q859" i="5"/>
  <c r="P794" i="5"/>
  <c r="Q687" i="5"/>
  <c r="Q578" i="5"/>
  <c r="P509" i="5"/>
  <c r="P504" i="5"/>
  <c r="Q425" i="5"/>
  <c r="P300" i="5"/>
  <c r="P117" i="5"/>
  <c r="P868" i="5"/>
  <c r="Q868" i="5"/>
  <c r="P828" i="5"/>
  <c r="Q828" i="5"/>
  <c r="P679" i="5"/>
  <c r="Q679" i="5"/>
  <c r="P551" i="5"/>
  <c r="Q551" i="5"/>
  <c r="P543" i="5"/>
  <c r="Q543" i="5"/>
  <c r="Q467" i="5"/>
  <c r="P467" i="5"/>
  <c r="P265" i="5"/>
  <c r="Q265" i="5"/>
  <c r="Q115" i="5"/>
  <c r="P115" i="5"/>
  <c r="Q92" i="5"/>
  <c r="P92" i="5"/>
  <c r="Q883" i="5"/>
  <c r="P883" i="5"/>
  <c r="P864" i="5"/>
  <c r="Q864" i="5"/>
  <c r="P824" i="5"/>
  <c r="Q824" i="5"/>
  <c r="P743" i="5"/>
  <c r="Q743" i="5"/>
  <c r="P735" i="5"/>
  <c r="Q735" i="5"/>
  <c r="P583" i="5"/>
  <c r="Q583" i="5"/>
  <c r="P550" i="5"/>
  <c r="Q550" i="5"/>
  <c r="P546" i="5"/>
  <c r="Q546" i="5"/>
  <c r="P542" i="5"/>
  <c r="Q542" i="5"/>
  <c r="Q463" i="5"/>
  <c r="P463" i="5"/>
  <c r="Q371" i="5"/>
  <c r="P371" i="5"/>
  <c r="P281" i="5"/>
  <c r="Q281" i="5"/>
  <c r="Q887" i="5"/>
  <c r="P887" i="5"/>
  <c r="P860" i="5"/>
  <c r="Q860" i="5"/>
  <c r="P820" i="5"/>
  <c r="Q820" i="5"/>
  <c r="P676" i="5"/>
  <c r="Q676" i="5"/>
  <c r="P579" i="5"/>
  <c r="Q579" i="5"/>
  <c r="P549" i="5"/>
  <c r="Q549" i="5"/>
  <c r="P545" i="5"/>
  <c r="Q545" i="5"/>
  <c r="P547" i="5"/>
  <c r="Q547" i="5"/>
  <c r="Q536" i="5"/>
  <c r="P536" i="5"/>
  <c r="Q879" i="5"/>
  <c r="P879" i="5"/>
  <c r="P755" i="5"/>
  <c r="Q755" i="5"/>
  <c r="Q891" i="5"/>
  <c r="P891" i="5"/>
  <c r="P872" i="5"/>
  <c r="Q872" i="5"/>
  <c r="P840" i="5"/>
  <c r="Q840" i="5"/>
  <c r="P816" i="5"/>
  <c r="Q816" i="5"/>
  <c r="P682" i="5"/>
  <c r="Q682" i="5"/>
  <c r="P548" i="5"/>
  <c r="Q548" i="5"/>
  <c r="P544" i="5"/>
  <c r="Q544" i="5"/>
  <c r="Q539" i="5"/>
  <c r="P539" i="5"/>
  <c r="Q374" i="5"/>
  <c r="P374" i="5"/>
  <c r="Q290" i="5"/>
  <c r="P290" i="5"/>
  <c r="Q94" i="5"/>
  <c r="P94" i="5"/>
  <c r="Q85" i="5"/>
  <c r="P85" i="5"/>
  <c r="Q76" i="5"/>
  <c r="P76" i="5"/>
  <c r="P42" i="5"/>
  <c r="Q42" i="5"/>
  <c r="P40" i="5"/>
  <c r="Q40" i="5"/>
  <c r="P38" i="5"/>
  <c r="Q38" i="5"/>
  <c r="P34" i="5"/>
  <c r="Q34" i="5"/>
  <c r="Q32" i="5"/>
  <c r="P32" i="5"/>
  <c r="Q302" i="5"/>
  <c r="P302" i="5"/>
  <c r="P278" i="5"/>
  <c r="Q278" i="5"/>
  <c r="P270" i="5"/>
  <c r="Q270" i="5"/>
  <c r="Q256" i="5"/>
  <c r="P256" i="5"/>
  <c r="Q240" i="5"/>
  <c r="P240" i="5"/>
  <c r="P119" i="5"/>
  <c r="Q119" i="5"/>
  <c r="Q114" i="5"/>
  <c r="P114" i="5"/>
  <c r="Q108" i="5"/>
  <c r="P108" i="5"/>
  <c r="Q100" i="5"/>
  <c r="P100" i="5"/>
  <c r="Q91" i="5"/>
  <c r="P91" i="5"/>
  <c r="Q81" i="5"/>
  <c r="P81" i="5"/>
  <c r="P178" i="5"/>
  <c r="Q178" i="5"/>
  <c r="P44" i="5"/>
  <c r="Q44" i="5"/>
  <c r="P36" i="5"/>
  <c r="Q36" i="5"/>
  <c r="Q511" i="5"/>
  <c r="Q298" i="5"/>
  <c r="P298" i="5"/>
  <c r="P258" i="5"/>
  <c r="P242" i="5"/>
  <c r="Q174" i="5"/>
  <c r="P174" i="5"/>
  <c r="Q102" i="5"/>
  <c r="P102" i="5"/>
  <c r="P90" i="5"/>
  <c r="Q88" i="5"/>
  <c r="P88" i="5"/>
  <c r="Q84" i="5"/>
  <c r="P84" i="5"/>
  <c r="P82" i="5"/>
  <c r="Q77" i="5"/>
  <c r="P77" i="5"/>
  <c r="P43" i="5"/>
  <c r="Q43" i="5"/>
  <c r="P41" i="5"/>
  <c r="Q41" i="5"/>
  <c r="P39" i="5"/>
  <c r="Q39" i="5"/>
  <c r="P37" i="5"/>
  <c r="Q37" i="5"/>
  <c r="P35" i="5"/>
  <c r="Q35" i="5"/>
  <c r="P33" i="5"/>
  <c r="Q33" i="5"/>
  <c r="Q299" i="5"/>
  <c r="P299" i="5"/>
  <c r="P273" i="5"/>
  <c r="Q273" i="5"/>
  <c r="Q908" i="5"/>
  <c r="Q907" i="5"/>
  <c r="Q906" i="5"/>
  <c r="Q897" i="5"/>
  <c r="Q896" i="5"/>
  <c r="P892" i="5"/>
  <c r="P888" i="5"/>
  <c r="P884" i="5"/>
  <c r="P880" i="5"/>
  <c r="Q869" i="5"/>
  <c r="Q865" i="5"/>
  <c r="Q861" i="5"/>
  <c r="Q841" i="5"/>
  <c r="Q837" i="5"/>
  <c r="Q825" i="5"/>
  <c r="Q821" i="5"/>
  <c r="Q817" i="5"/>
  <c r="P809" i="5"/>
  <c r="P807" i="5"/>
  <c r="P805" i="5"/>
  <c r="P803" i="5"/>
  <c r="P801" i="5"/>
  <c r="P799" i="5"/>
  <c r="P797" i="5"/>
  <c r="P795" i="5"/>
  <c r="P758" i="5"/>
  <c r="Q753" i="5"/>
  <c r="P748" i="5"/>
  <c r="P746" i="5"/>
  <c r="Q741" i="5"/>
  <c r="Q699" i="5"/>
  <c r="P696" i="5"/>
  <c r="Q686" i="5"/>
  <c r="Q683" i="5"/>
  <c r="Q680" i="5"/>
  <c r="Q660" i="5"/>
  <c r="P642" i="5"/>
  <c r="P608" i="5"/>
  <c r="P600" i="5"/>
  <c r="P592" i="5"/>
  <c r="Q584" i="5"/>
  <c r="Q580" i="5"/>
  <c r="Q576" i="5"/>
  <c r="P537" i="5"/>
  <c r="P464" i="5"/>
  <c r="Q430" i="5"/>
  <c r="Q428" i="5"/>
  <c r="Q426" i="5"/>
  <c r="Q424" i="5"/>
  <c r="P372" i="5"/>
  <c r="Q266" i="5"/>
  <c r="Q248" i="5"/>
  <c r="P248" i="5"/>
  <c r="Q232" i="5"/>
  <c r="P232" i="5"/>
  <c r="P165" i="5"/>
  <c r="Q165" i="5"/>
  <c r="P145" i="5"/>
  <c r="P87" i="5"/>
  <c r="Q80" i="5"/>
  <c r="P80" i="5"/>
  <c r="P78" i="5"/>
  <c r="P254" i="5"/>
  <c r="P246" i="5"/>
  <c r="P238" i="5"/>
  <c r="P230" i="5"/>
  <c r="Q161" i="5"/>
  <c r="Q149" i="5"/>
  <c r="P874" i="5"/>
  <c r="Q874" i="5"/>
  <c r="P849" i="5"/>
  <c r="Q849" i="5"/>
  <c r="P845" i="5"/>
  <c r="Q845" i="5"/>
  <c r="P815" i="5"/>
  <c r="Q815" i="5"/>
  <c r="Q854" i="5"/>
  <c r="P854" i="5"/>
  <c r="P848" i="5"/>
  <c r="Q848" i="5"/>
  <c r="P846" i="5"/>
  <c r="Q846" i="5"/>
  <c r="P899" i="5"/>
  <c r="Q899" i="5"/>
  <c r="P847" i="5"/>
  <c r="Q847" i="5"/>
  <c r="Q812" i="5"/>
  <c r="Q792" i="5"/>
  <c r="P789" i="5"/>
  <c r="Q786" i="5"/>
  <c r="Q754" i="5"/>
  <c r="Q744" i="5"/>
  <c r="Q740" i="5"/>
  <c r="Q736" i="5"/>
  <c r="P733" i="5"/>
  <c r="P727" i="5"/>
  <c r="P725" i="5"/>
  <c r="P722" i="5"/>
  <c r="P720" i="5"/>
  <c r="P718" i="5"/>
  <c r="P716" i="5"/>
  <c r="P714" i="5"/>
  <c r="P712" i="5"/>
  <c r="P710" i="5"/>
  <c r="P708" i="5"/>
  <c r="P706" i="5"/>
  <c r="P704" i="5"/>
  <c r="P665" i="5"/>
  <c r="Q665" i="5"/>
  <c r="P655" i="5"/>
  <c r="Q655" i="5"/>
  <c r="P653" i="5"/>
  <c r="Q653" i="5"/>
  <c r="P651" i="5"/>
  <c r="Q651" i="5"/>
  <c r="P618" i="5"/>
  <c r="Q618" i="5"/>
  <c r="P569" i="5"/>
  <c r="Q569" i="5"/>
  <c r="Q561" i="5"/>
  <c r="P561" i="5"/>
  <c r="Q538" i="5"/>
  <c r="P538" i="5"/>
  <c r="P501" i="5"/>
  <c r="Q501" i="5"/>
  <c r="P499" i="5"/>
  <c r="Q499" i="5"/>
  <c r="P497" i="5"/>
  <c r="Q497" i="5"/>
  <c r="P495" i="5"/>
  <c r="Q495" i="5"/>
  <c r="P493" i="5"/>
  <c r="Q493" i="5"/>
  <c r="P491" i="5"/>
  <c r="Q491" i="5"/>
  <c r="P489" i="5"/>
  <c r="Q489" i="5"/>
  <c r="P487" i="5"/>
  <c r="Q487" i="5"/>
  <c r="P485" i="5"/>
  <c r="Q485" i="5"/>
  <c r="P483" i="5"/>
  <c r="Q483" i="5"/>
  <c r="P481" i="5"/>
  <c r="Q481" i="5"/>
  <c r="P479" i="5"/>
  <c r="Q479" i="5"/>
  <c r="P477" i="5"/>
  <c r="Q477" i="5"/>
  <c r="P475" i="5"/>
  <c r="Q475" i="5"/>
  <c r="P433" i="5"/>
  <c r="Q433" i="5"/>
  <c r="P411" i="5"/>
  <c r="Q411" i="5"/>
  <c r="P401" i="5"/>
  <c r="Q401" i="5"/>
  <c r="P309" i="5"/>
  <c r="Q309" i="5"/>
  <c r="P305" i="5"/>
  <c r="Q305" i="5"/>
  <c r="P648" i="5"/>
  <c r="Q648" i="5"/>
  <c r="P637" i="5"/>
  <c r="Q637" i="5"/>
  <c r="P633" i="5"/>
  <c r="Q633" i="5"/>
  <c r="P629" i="5"/>
  <c r="Q629" i="5"/>
  <c r="P625" i="5"/>
  <c r="Q625" i="5"/>
  <c r="P554" i="5"/>
  <c r="Q554" i="5"/>
  <c r="P361" i="5"/>
  <c r="Q361" i="5"/>
  <c r="P357" i="5"/>
  <c r="Q357" i="5"/>
  <c r="P349" i="5"/>
  <c r="Q349" i="5"/>
  <c r="P347" i="5"/>
  <c r="Q347" i="5"/>
  <c r="P276" i="5"/>
  <c r="Q276" i="5"/>
  <c r="P664" i="5"/>
  <c r="Q664" i="5"/>
  <c r="P638" i="5"/>
  <c r="Q638" i="5"/>
  <c r="P636" i="5"/>
  <c r="Q636" i="5"/>
  <c r="P634" i="5"/>
  <c r="Q634" i="5"/>
  <c r="P632" i="5"/>
  <c r="Q632" i="5"/>
  <c r="P630" i="5"/>
  <c r="Q630" i="5"/>
  <c r="P628" i="5"/>
  <c r="Q628" i="5"/>
  <c r="P626" i="5"/>
  <c r="Q626" i="5"/>
  <c r="P624" i="5"/>
  <c r="Q624" i="5"/>
  <c r="P617" i="5"/>
  <c r="Q617" i="5"/>
  <c r="P572" i="5"/>
  <c r="Q565" i="5"/>
  <c r="P565" i="5"/>
  <c r="P363" i="5"/>
  <c r="Q363" i="5"/>
  <c r="P359" i="5"/>
  <c r="Q359" i="5"/>
  <c r="P639" i="5"/>
  <c r="Q639" i="5"/>
  <c r="P635" i="5"/>
  <c r="Q635" i="5"/>
  <c r="P631" i="5"/>
  <c r="Q631" i="5"/>
  <c r="P627" i="5"/>
  <c r="Q627" i="5"/>
  <c r="P619" i="5"/>
  <c r="Q619" i="5"/>
  <c r="Q564" i="5"/>
  <c r="P564" i="5"/>
  <c r="P351" i="5"/>
  <c r="Q351" i="5"/>
  <c r="P345" i="5"/>
  <c r="Q345" i="5"/>
  <c r="P284" i="5"/>
  <c r="Q284" i="5"/>
  <c r="P268" i="5"/>
  <c r="Q268" i="5"/>
  <c r="P153" i="5"/>
  <c r="Q153" i="5"/>
  <c r="P123" i="5"/>
  <c r="Q123" i="5"/>
  <c r="Q89" i="5"/>
  <c r="P89" i="5"/>
  <c r="O912" i="5"/>
  <c r="Q852" i="5"/>
  <c r="Q851" i="5"/>
  <c r="Q832" i="5"/>
  <c r="Q831" i="5"/>
  <c r="Q814" i="5"/>
  <c r="P790" i="5"/>
  <c r="Q756" i="5"/>
  <c r="Q742" i="5"/>
  <c r="Q738" i="5"/>
  <c r="Q734" i="5"/>
  <c r="P728" i="5"/>
  <c r="P726" i="5"/>
  <c r="P721" i="5"/>
  <c r="P719" i="5"/>
  <c r="P717" i="5"/>
  <c r="P715" i="5"/>
  <c r="P713" i="5"/>
  <c r="P711" i="5"/>
  <c r="P709" i="5"/>
  <c r="P707" i="5"/>
  <c r="P705" i="5"/>
  <c r="P703" i="5"/>
  <c r="P701" i="5"/>
  <c r="Q698" i="5"/>
  <c r="P695" i="5"/>
  <c r="P693" i="5"/>
  <c r="P691" i="5"/>
  <c r="Q685" i="5"/>
  <c r="Q681" i="5"/>
  <c r="Q677" i="5"/>
  <c r="Q673" i="5"/>
  <c r="P654" i="5"/>
  <c r="Q654" i="5"/>
  <c r="P652" i="5"/>
  <c r="Q652" i="5"/>
  <c r="P650" i="5"/>
  <c r="Q650" i="5"/>
  <c r="P643" i="5"/>
  <c r="P641" i="5"/>
  <c r="P620" i="5"/>
  <c r="Q620" i="5"/>
  <c r="P613" i="5"/>
  <c r="P611" i="5"/>
  <c r="P609" i="5"/>
  <c r="P607" i="5"/>
  <c r="P605" i="5"/>
  <c r="P603" i="5"/>
  <c r="P601" i="5"/>
  <c r="P599" i="5"/>
  <c r="P597" i="5"/>
  <c r="P595" i="5"/>
  <c r="P593" i="5"/>
  <c r="P591" i="5"/>
  <c r="P589" i="5"/>
  <c r="P587" i="5"/>
  <c r="P570" i="5"/>
  <c r="Q570" i="5"/>
  <c r="P562" i="5"/>
  <c r="Q560" i="5"/>
  <c r="P560" i="5"/>
  <c r="Q556" i="5"/>
  <c r="P403" i="5"/>
  <c r="Q403" i="5"/>
  <c r="P399" i="5"/>
  <c r="Q399" i="5"/>
  <c r="P386" i="5"/>
  <c r="Q386" i="5"/>
  <c r="P311" i="5"/>
  <c r="Q311" i="5"/>
  <c r="P307" i="5"/>
  <c r="Q307" i="5"/>
  <c r="P567" i="5"/>
  <c r="P563" i="5"/>
  <c r="Q553" i="5"/>
  <c r="P540" i="5"/>
  <c r="P533" i="5"/>
  <c r="Q533" i="5"/>
  <c r="P531" i="5"/>
  <c r="Q531" i="5"/>
  <c r="P529" i="5"/>
  <c r="Q529" i="5"/>
  <c r="P527" i="5"/>
  <c r="Q527" i="5"/>
  <c r="P525" i="5"/>
  <c r="Q525" i="5"/>
  <c r="P523" i="5"/>
  <c r="Q523" i="5"/>
  <c r="P521" i="5"/>
  <c r="Q521" i="5"/>
  <c r="P519" i="5"/>
  <c r="Q519" i="5"/>
  <c r="P517" i="5"/>
  <c r="Q517" i="5"/>
  <c r="P515" i="5"/>
  <c r="Q515" i="5"/>
  <c r="P506" i="5"/>
  <c r="Q506" i="5"/>
  <c r="P473" i="5"/>
  <c r="Q473" i="5"/>
  <c r="P451" i="5"/>
  <c r="Q451" i="5"/>
  <c r="P449" i="5"/>
  <c r="Q449" i="5"/>
  <c r="P447" i="5"/>
  <c r="Q447" i="5"/>
  <c r="P445" i="5"/>
  <c r="Q445" i="5"/>
  <c r="P443" i="5"/>
  <c r="Q443" i="5"/>
  <c r="P441" i="5"/>
  <c r="Q441" i="5"/>
  <c r="P439" i="5"/>
  <c r="Q439" i="5"/>
  <c r="P437" i="5"/>
  <c r="Q437" i="5"/>
  <c r="P414" i="5"/>
  <c r="Q414" i="5"/>
  <c r="P410" i="5"/>
  <c r="Q410" i="5"/>
  <c r="Q404" i="5"/>
  <c r="Q402" i="5"/>
  <c r="Q400" i="5"/>
  <c r="P391" i="5"/>
  <c r="Q391" i="5"/>
  <c r="P389" i="5"/>
  <c r="Q389" i="5"/>
  <c r="P385" i="5"/>
  <c r="Q385" i="5"/>
  <c r="P369" i="5"/>
  <c r="Q369" i="5"/>
  <c r="P367" i="5"/>
  <c r="Q367" i="5"/>
  <c r="Q362" i="5"/>
  <c r="Q360" i="5"/>
  <c r="Q358" i="5"/>
  <c r="P340" i="5"/>
  <c r="Q340" i="5"/>
  <c r="P338" i="5"/>
  <c r="Q338" i="5"/>
  <c r="P336" i="5"/>
  <c r="Q336" i="5"/>
  <c r="P334" i="5"/>
  <c r="Q334" i="5"/>
  <c r="P331" i="5"/>
  <c r="Q331" i="5"/>
  <c r="P329" i="5"/>
  <c r="Q329" i="5"/>
  <c r="P327" i="5"/>
  <c r="Q327" i="5"/>
  <c r="P325" i="5"/>
  <c r="Q325" i="5"/>
  <c r="Q310" i="5"/>
  <c r="Q308" i="5"/>
  <c r="Q306" i="5"/>
  <c r="Q304" i="5"/>
  <c r="Q292" i="5"/>
  <c r="P292" i="5"/>
  <c r="P169" i="5"/>
  <c r="Q169" i="5"/>
  <c r="P164" i="5"/>
  <c r="Q164" i="5"/>
  <c r="P155" i="5"/>
  <c r="Q155" i="5"/>
  <c r="P502" i="5"/>
  <c r="Q502" i="5"/>
  <c r="P500" i="5"/>
  <c r="Q500" i="5"/>
  <c r="P498" i="5"/>
  <c r="Q498" i="5"/>
  <c r="P496" i="5"/>
  <c r="Q496" i="5"/>
  <c r="P494" i="5"/>
  <c r="Q494" i="5"/>
  <c r="P492" i="5"/>
  <c r="Q492" i="5"/>
  <c r="P490" i="5"/>
  <c r="Q490" i="5"/>
  <c r="P488" i="5"/>
  <c r="Q488" i="5"/>
  <c r="P486" i="5"/>
  <c r="Q486" i="5"/>
  <c r="P484" i="5"/>
  <c r="Q484" i="5"/>
  <c r="P482" i="5"/>
  <c r="Q482" i="5"/>
  <c r="P480" i="5"/>
  <c r="Q480" i="5"/>
  <c r="P478" i="5"/>
  <c r="Q478" i="5"/>
  <c r="P476" i="5"/>
  <c r="Q476" i="5"/>
  <c r="P472" i="5"/>
  <c r="Q472" i="5"/>
  <c r="P435" i="5"/>
  <c r="Q435" i="5"/>
  <c r="P413" i="5"/>
  <c r="Q413" i="5"/>
  <c r="P384" i="5"/>
  <c r="Q384" i="5"/>
  <c r="P352" i="5"/>
  <c r="Q352" i="5"/>
  <c r="P350" i="5"/>
  <c r="Q350" i="5"/>
  <c r="P348" i="5"/>
  <c r="Q348" i="5"/>
  <c r="P346" i="5"/>
  <c r="Q346" i="5"/>
  <c r="P344" i="5"/>
  <c r="Q344" i="5"/>
  <c r="Q291" i="5"/>
  <c r="P291" i="5"/>
  <c r="P280" i="5"/>
  <c r="Q280" i="5"/>
  <c r="P272" i="5"/>
  <c r="Q272" i="5"/>
  <c r="P182" i="5"/>
  <c r="Q182" i="5"/>
  <c r="P171" i="5"/>
  <c r="Q171" i="5"/>
  <c r="P532" i="5"/>
  <c r="Q532" i="5"/>
  <c r="P530" i="5"/>
  <c r="Q530" i="5"/>
  <c r="P528" i="5"/>
  <c r="Q528" i="5"/>
  <c r="P526" i="5"/>
  <c r="Q526" i="5"/>
  <c r="P524" i="5"/>
  <c r="Q524" i="5"/>
  <c r="P522" i="5"/>
  <c r="Q522" i="5"/>
  <c r="P520" i="5"/>
  <c r="Q520" i="5"/>
  <c r="P518" i="5"/>
  <c r="Q518" i="5"/>
  <c r="P516" i="5"/>
  <c r="Q516" i="5"/>
  <c r="P450" i="5"/>
  <c r="Q450" i="5"/>
  <c r="P448" i="5"/>
  <c r="Q448" i="5"/>
  <c r="P446" i="5"/>
  <c r="Q446" i="5"/>
  <c r="P444" i="5"/>
  <c r="Q444" i="5"/>
  <c r="P442" i="5"/>
  <c r="Q442" i="5"/>
  <c r="P440" i="5"/>
  <c r="Q440" i="5"/>
  <c r="P438" i="5"/>
  <c r="Q438" i="5"/>
  <c r="P434" i="5"/>
  <c r="Q434" i="5"/>
  <c r="P412" i="5"/>
  <c r="Q412" i="5"/>
  <c r="P392" i="5"/>
  <c r="Q392" i="5"/>
  <c r="P390" i="5"/>
  <c r="Q390" i="5"/>
  <c r="P388" i="5"/>
  <c r="Q388" i="5"/>
  <c r="P383" i="5"/>
  <c r="Q383" i="5"/>
  <c r="P368" i="5"/>
  <c r="Q368" i="5"/>
  <c r="P366" i="5"/>
  <c r="Q366" i="5"/>
  <c r="P342" i="5"/>
  <c r="Q342" i="5"/>
  <c r="P339" i="5"/>
  <c r="Q339" i="5"/>
  <c r="P337" i="5"/>
  <c r="Q337" i="5"/>
  <c r="P335" i="5"/>
  <c r="Q335" i="5"/>
  <c r="P332" i="5"/>
  <c r="Q332" i="5"/>
  <c r="P330" i="5"/>
  <c r="Q330" i="5"/>
  <c r="P328" i="5"/>
  <c r="Q328" i="5"/>
  <c r="P326" i="5"/>
  <c r="Q326" i="5"/>
  <c r="P324" i="5"/>
  <c r="Q324" i="5"/>
  <c r="Q295" i="5"/>
  <c r="P295" i="5"/>
  <c r="Q293" i="5"/>
  <c r="P293" i="5"/>
  <c r="P216" i="5"/>
  <c r="Q216" i="5"/>
  <c r="P214" i="5"/>
  <c r="Q214" i="5"/>
  <c r="P212" i="5"/>
  <c r="Q212" i="5"/>
  <c r="P210" i="5"/>
  <c r="Q210" i="5"/>
  <c r="P208" i="5"/>
  <c r="Q208" i="5"/>
  <c r="P206" i="5"/>
  <c r="Q206" i="5"/>
  <c r="P204" i="5"/>
  <c r="Q204" i="5"/>
  <c r="P202" i="5"/>
  <c r="Q202" i="5"/>
  <c r="P200" i="5"/>
  <c r="Q200" i="5"/>
  <c r="P198" i="5"/>
  <c r="Q198" i="5"/>
  <c r="P196" i="5"/>
  <c r="Q196" i="5"/>
  <c r="P194" i="5"/>
  <c r="Q194" i="5"/>
  <c r="P192" i="5"/>
  <c r="Q192" i="5"/>
  <c r="P190" i="5"/>
  <c r="Q190" i="5"/>
  <c r="P188" i="5"/>
  <c r="Q188" i="5"/>
  <c r="P186" i="5"/>
  <c r="Q186" i="5"/>
  <c r="P168" i="5"/>
  <c r="Q168" i="5"/>
  <c r="P159" i="5"/>
  <c r="Q159" i="5"/>
  <c r="P152" i="5"/>
  <c r="Q152" i="5"/>
  <c r="Q101" i="5"/>
  <c r="P101" i="5"/>
  <c r="Q93" i="5"/>
  <c r="P93" i="5"/>
  <c r="P289" i="5"/>
  <c r="P287" i="5"/>
  <c r="Q283" i="5"/>
  <c r="Q279" i="5"/>
  <c r="Q275" i="5"/>
  <c r="Q271" i="5"/>
  <c r="Q267" i="5"/>
  <c r="P263" i="5"/>
  <c r="P261" i="5"/>
  <c r="P259" i="5"/>
  <c r="P257" i="5"/>
  <c r="P255" i="5"/>
  <c r="P253" i="5"/>
  <c r="P251" i="5"/>
  <c r="P249" i="5"/>
  <c r="P247" i="5"/>
  <c r="P245" i="5"/>
  <c r="P243" i="5"/>
  <c r="P241" i="5"/>
  <c r="P239" i="5"/>
  <c r="P237" i="5"/>
  <c r="P235" i="5"/>
  <c r="P233" i="5"/>
  <c r="P231" i="5"/>
  <c r="P184" i="5"/>
  <c r="Q184" i="5"/>
  <c r="P172" i="5"/>
  <c r="Q172" i="5"/>
  <c r="P163" i="5"/>
  <c r="Q163" i="5"/>
  <c r="P156" i="5"/>
  <c r="Q156" i="5"/>
  <c r="P122" i="5"/>
  <c r="Q122" i="5"/>
  <c r="P215" i="5"/>
  <c r="Q215" i="5"/>
  <c r="P213" i="5"/>
  <c r="Q213" i="5"/>
  <c r="P211" i="5"/>
  <c r="Q211" i="5"/>
  <c r="P209" i="5"/>
  <c r="Q209" i="5"/>
  <c r="P207" i="5"/>
  <c r="Q207" i="5"/>
  <c r="P205" i="5"/>
  <c r="Q205" i="5"/>
  <c r="P203" i="5"/>
  <c r="Q203" i="5"/>
  <c r="P201" i="5"/>
  <c r="Q201" i="5"/>
  <c r="P199" i="5"/>
  <c r="Q199" i="5"/>
  <c r="P197" i="5"/>
  <c r="Q197" i="5"/>
  <c r="P195" i="5"/>
  <c r="Q195" i="5"/>
  <c r="P193" i="5"/>
  <c r="Q193" i="5"/>
  <c r="P191" i="5"/>
  <c r="Q191" i="5"/>
  <c r="P189" i="5"/>
  <c r="Q189" i="5"/>
  <c r="P187" i="5"/>
  <c r="Q187" i="5"/>
  <c r="P183" i="5"/>
  <c r="Q183" i="5"/>
  <c r="P167" i="5"/>
  <c r="Q167" i="5"/>
  <c r="P160" i="5"/>
  <c r="Q160" i="5"/>
  <c r="P151" i="5"/>
  <c r="Q151" i="5"/>
  <c r="Q105" i="5"/>
  <c r="P105" i="5"/>
  <c r="Q97" i="5"/>
  <c r="P97" i="5"/>
  <c r="Q170" i="5"/>
  <c r="Q166" i="5"/>
  <c r="Q162" i="5"/>
  <c r="Q158" i="5"/>
  <c r="Q154" i="5"/>
  <c r="Q150" i="5"/>
  <c r="P107" i="5"/>
  <c r="P103" i="5"/>
  <c r="P99" i="5"/>
  <c r="P95" i="5"/>
  <c r="P70" i="5"/>
  <c r="Q70" i="5"/>
  <c r="P68" i="5"/>
  <c r="Q68" i="5"/>
  <c r="P66" i="5"/>
  <c r="Q66" i="5"/>
  <c r="P64" i="5"/>
  <c r="Q64" i="5"/>
  <c r="P62" i="5"/>
  <c r="Q62" i="5"/>
  <c r="P60" i="5"/>
  <c r="Q60" i="5"/>
  <c r="P58" i="5"/>
  <c r="Q58" i="5"/>
  <c r="P56" i="5"/>
  <c r="Q56" i="5"/>
  <c r="P54" i="5"/>
  <c r="Q54" i="5"/>
  <c r="P52" i="5"/>
  <c r="Q52" i="5"/>
  <c r="P50" i="5"/>
  <c r="Q50" i="5"/>
  <c r="P48" i="5"/>
  <c r="Q48" i="5"/>
  <c r="P46" i="5"/>
  <c r="Q46" i="5"/>
  <c r="P71" i="5"/>
  <c r="Q71" i="5"/>
  <c r="P69" i="5"/>
  <c r="Q69" i="5"/>
  <c r="P67" i="5"/>
  <c r="Q67" i="5"/>
  <c r="P65" i="5"/>
  <c r="Q65" i="5"/>
  <c r="P63" i="5"/>
  <c r="Q63" i="5"/>
  <c r="P61" i="5"/>
  <c r="Q61" i="5"/>
  <c r="P59" i="5"/>
  <c r="Q59" i="5"/>
  <c r="P57" i="5"/>
  <c r="Q57" i="5"/>
  <c r="P55" i="5"/>
  <c r="Q55" i="5"/>
  <c r="P53" i="5"/>
  <c r="Q53" i="5"/>
  <c r="P51" i="5"/>
  <c r="Q51" i="5"/>
  <c r="P49" i="5"/>
  <c r="Q49" i="5"/>
  <c r="P47" i="5"/>
  <c r="Q47" i="5"/>
  <c r="H3" i="3"/>
  <c r="H4" i="3"/>
  <c r="H5" i="3"/>
  <c r="H6" i="3"/>
  <c r="H7" i="3"/>
  <c r="H8" i="3"/>
  <c r="H2" i="3"/>
  <c r="I2" i="3" l="1"/>
  <c r="H9" i="3"/>
  <c r="I8" i="3"/>
  <c r="I7" i="3"/>
  <c r="I6" i="3"/>
  <c r="I5" i="3"/>
  <c r="I4" i="3"/>
  <c r="I3" i="3"/>
  <c r="Q912" i="5"/>
  <c r="P912" i="5"/>
  <c r="P31" i="2"/>
  <c r="P72" i="2"/>
  <c r="P73" i="2"/>
  <c r="P74" i="2"/>
  <c r="P121" i="2"/>
  <c r="P124" i="2"/>
  <c r="P125" i="2"/>
  <c r="P126" i="2"/>
  <c r="P179" i="2"/>
  <c r="P180" i="2"/>
  <c r="P181" i="2"/>
  <c r="P217" i="2"/>
  <c r="P285" i="2"/>
  <c r="P313" i="2"/>
  <c r="P314" i="2"/>
  <c r="P315" i="2"/>
  <c r="P316" i="2"/>
  <c r="P317" i="2"/>
  <c r="P318" i="2"/>
  <c r="P319" i="2"/>
  <c r="P320" i="2"/>
  <c r="P321" i="2"/>
  <c r="P322" i="2"/>
  <c r="P323" i="2"/>
  <c r="P341" i="2"/>
  <c r="P363" i="2"/>
  <c r="P364" i="2"/>
  <c r="P375" i="2"/>
  <c r="P376" i="2"/>
  <c r="P377" i="2"/>
  <c r="P378" i="2"/>
  <c r="P379" i="2"/>
  <c r="P380" i="2"/>
  <c r="P381" i="2"/>
  <c r="P392" i="2"/>
  <c r="P393" i="2"/>
  <c r="P394" i="2"/>
  <c r="P395" i="2"/>
  <c r="P396" i="2"/>
  <c r="P397" i="2"/>
  <c r="P404" i="2"/>
  <c r="P405" i="2"/>
  <c r="P406" i="2"/>
  <c r="P407" i="2"/>
  <c r="P414" i="2"/>
  <c r="P415" i="2"/>
  <c r="P416" i="2"/>
  <c r="P417" i="2"/>
  <c r="P418" i="2"/>
  <c r="P419" i="2"/>
  <c r="P420" i="2"/>
  <c r="P421" i="2"/>
  <c r="P422" i="2"/>
  <c r="P456" i="2"/>
  <c r="P457" i="2"/>
  <c r="P458" i="2"/>
  <c r="P459" i="2"/>
  <c r="P460" i="2"/>
  <c r="P461" i="2"/>
  <c r="P462" i="2"/>
  <c r="P463" i="2"/>
  <c r="P509" i="2"/>
  <c r="P517" i="2"/>
  <c r="P518" i="2"/>
  <c r="P561" i="2"/>
  <c r="P562" i="2"/>
  <c r="P563" i="2"/>
  <c r="P577" i="2"/>
  <c r="P578" i="2"/>
  <c r="P579" i="2"/>
  <c r="P589" i="2"/>
  <c r="P625" i="2"/>
  <c r="P626" i="2"/>
  <c r="P627" i="2"/>
  <c r="P649" i="2"/>
  <c r="P650" i="2"/>
  <c r="P651" i="2"/>
  <c r="P660" i="2"/>
  <c r="P661" i="2"/>
  <c r="P662" i="2"/>
  <c r="P672" i="2"/>
  <c r="P673" i="2"/>
  <c r="P674" i="2"/>
  <c r="P735" i="2"/>
  <c r="P736" i="2"/>
  <c r="P754" i="2"/>
  <c r="P755" i="2"/>
  <c r="P756" i="2"/>
  <c r="P766" i="2"/>
  <c r="P767" i="2"/>
  <c r="P768" i="2"/>
  <c r="P769" i="2"/>
  <c r="P770" i="2"/>
  <c r="P771" i="2"/>
  <c r="P772" i="2"/>
  <c r="P773" i="2"/>
  <c r="P774" i="2"/>
  <c r="P775" i="2"/>
  <c r="P776" i="2"/>
  <c r="P777" i="2"/>
  <c r="P778" i="2"/>
  <c r="P779" i="2"/>
  <c r="P780" i="2"/>
  <c r="P781" i="2"/>
  <c r="P782" i="2"/>
  <c r="P783" i="2"/>
  <c r="P784" i="2"/>
  <c r="P785" i="2"/>
  <c r="P786" i="2"/>
  <c r="P787" i="2"/>
  <c r="P788" i="2"/>
  <c r="P839" i="2"/>
  <c r="P859" i="2"/>
  <c r="P860" i="2"/>
  <c r="P861" i="2"/>
  <c r="P904" i="2"/>
  <c r="P905" i="2"/>
  <c r="P906" i="2"/>
  <c r="I9" i="3" l="1"/>
  <c r="J9" i="3"/>
  <c r="M16" i="2"/>
  <c r="M17" i="2"/>
  <c r="O17" i="2" s="1"/>
  <c r="M18" i="2"/>
  <c r="M19" i="2"/>
  <c r="M20" i="2"/>
  <c r="M21" i="2"/>
  <c r="M22" i="2"/>
  <c r="M23" i="2"/>
  <c r="M24" i="2"/>
  <c r="M25" i="2"/>
  <c r="M26" i="2"/>
  <c r="M27" i="2"/>
  <c r="M28" i="2"/>
  <c r="O28" i="2" s="1"/>
  <c r="M80" i="2"/>
  <c r="M29" i="2"/>
  <c r="M30" i="2"/>
  <c r="M32" i="2"/>
  <c r="M33" i="2"/>
  <c r="M34" i="2"/>
  <c r="O34" i="2" s="1"/>
  <c r="M35" i="2"/>
  <c r="O35" i="2" s="1"/>
  <c r="M36" i="2"/>
  <c r="M37" i="2"/>
  <c r="M38" i="2"/>
  <c r="M39" i="2"/>
  <c r="M40" i="2"/>
  <c r="M41" i="2"/>
  <c r="M42" i="2"/>
  <c r="M43" i="2"/>
  <c r="O43" i="2" s="1"/>
  <c r="M44" i="2"/>
  <c r="O44" i="2" s="1"/>
  <c r="M46" i="2"/>
  <c r="M47" i="2"/>
  <c r="O47" i="2" s="1"/>
  <c r="M48" i="2"/>
  <c r="M49" i="2"/>
  <c r="M50" i="2"/>
  <c r="M51" i="2"/>
  <c r="M52" i="2"/>
  <c r="M53" i="2"/>
  <c r="M54" i="2"/>
  <c r="M55" i="2"/>
  <c r="M56" i="2"/>
  <c r="M57" i="2"/>
  <c r="M58" i="2"/>
  <c r="M59" i="2"/>
  <c r="M60" i="2"/>
  <c r="M61" i="2"/>
  <c r="M62" i="2"/>
  <c r="M63" i="2"/>
  <c r="M64" i="2"/>
  <c r="M65" i="2"/>
  <c r="M66" i="2"/>
  <c r="M67" i="2"/>
  <c r="M68" i="2"/>
  <c r="M69" i="2"/>
  <c r="M70" i="2"/>
  <c r="M71" i="2"/>
  <c r="M75" i="2"/>
  <c r="O75" i="2" s="1"/>
  <c r="M76" i="2"/>
  <c r="M77" i="2"/>
  <c r="M78" i="2"/>
  <c r="M79" i="2"/>
  <c r="M81" i="2"/>
  <c r="M82" i="2"/>
  <c r="M83" i="2"/>
  <c r="M84" i="2"/>
  <c r="M85" i="2"/>
  <c r="O85" i="2" s="1"/>
  <c r="M86" i="2"/>
  <c r="M87" i="2"/>
  <c r="M88" i="2"/>
  <c r="O88" i="2" s="1"/>
  <c r="M89" i="2"/>
  <c r="M90" i="2"/>
  <c r="M91" i="2"/>
  <c r="M92" i="2"/>
  <c r="M93" i="2"/>
  <c r="M94" i="2"/>
  <c r="M95" i="2"/>
  <c r="M96" i="2"/>
  <c r="M97" i="2"/>
  <c r="M98" i="2"/>
  <c r="M99" i="2"/>
  <c r="M100" i="2"/>
  <c r="O100" i="2" s="1"/>
  <c r="M101" i="2"/>
  <c r="O101" i="2" s="1"/>
  <c r="M102" i="2"/>
  <c r="M103" i="2"/>
  <c r="O103" i="2" s="1"/>
  <c r="M104" i="2"/>
  <c r="M105" i="2"/>
  <c r="M106" i="2"/>
  <c r="M107" i="2"/>
  <c r="M108" i="2"/>
  <c r="M109" i="2"/>
  <c r="M110" i="2"/>
  <c r="M111" i="2"/>
  <c r="M112" i="2"/>
  <c r="M113" i="2"/>
  <c r="M114" i="2"/>
  <c r="M115" i="2"/>
  <c r="M116" i="2"/>
  <c r="M117" i="2"/>
  <c r="M118" i="2"/>
  <c r="M119" i="2"/>
  <c r="M122" i="2"/>
  <c r="O122" i="2" s="1"/>
  <c r="M123" i="2"/>
  <c r="M145" i="2"/>
  <c r="M146" i="2"/>
  <c r="O146" i="2" s="1"/>
  <c r="M147" i="2"/>
  <c r="M148" i="2"/>
  <c r="M149" i="2"/>
  <c r="O149" i="2" s="1"/>
  <c r="M150" i="2"/>
  <c r="M151" i="2"/>
  <c r="M152" i="2"/>
  <c r="M153" i="2"/>
  <c r="M154" i="2"/>
  <c r="M155" i="2"/>
  <c r="M156" i="2"/>
  <c r="M157" i="2"/>
  <c r="O157" i="2" s="1"/>
  <c r="M158" i="2"/>
  <c r="M159" i="2"/>
  <c r="M160" i="2"/>
  <c r="M161" i="2"/>
  <c r="O161" i="2" s="1"/>
  <c r="M162" i="2"/>
  <c r="M163" i="2"/>
  <c r="M164" i="2"/>
  <c r="M165" i="2"/>
  <c r="M166" i="2"/>
  <c r="O166" i="2" s="1"/>
  <c r="M167" i="2"/>
  <c r="M168" i="2"/>
  <c r="M169" i="2"/>
  <c r="M170" i="2"/>
  <c r="M171" i="2"/>
  <c r="O171" i="2" s="1"/>
  <c r="M172" i="2"/>
  <c r="M173" i="2"/>
  <c r="M174" i="2"/>
  <c r="M175" i="2"/>
  <c r="M176" i="2"/>
  <c r="M177" i="2"/>
  <c r="M178" i="2"/>
  <c r="O178" i="2" s="1"/>
  <c r="M182" i="2"/>
  <c r="M183" i="2"/>
  <c r="O183" i="2" s="1"/>
  <c r="M184" i="2"/>
  <c r="O184" i="2" s="1"/>
  <c r="M185" i="2"/>
  <c r="M186" i="2"/>
  <c r="M187" i="2"/>
  <c r="M188" i="2"/>
  <c r="M189" i="2"/>
  <c r="M190" i="2"/>
  <c r="M191" i="2"/>
  <c r="M192" i="2"/>
  <c r="M193" i="2"/>
  <c r="O193" i="2" s="1"/>
  <c r="M194" i="2"/>
  <c r="O194" i="2" s="1"/>
  <c r="M195" i="2"/>
  <c r="M196" i="2"/>
  <c r="M197" i="2"/>
  <c r="M198" i="2"/>
  <c r="M199" i="2"/>
  <c r="M200" i="2"/>
  <c r="O200" i="2" s="1"/>
  <c r="M201" i="2"/>
  <c r="M202" i="2"/>
  <c r="M203" i="2"/>
  <c r="M204" i="2"/>
  <c r="M205" i="2"/>
  <c r="M206" i="2"/>
  <c r="M207" i="2"/>
  <c r="M208" i="2"/>
  <c r="M209" i="2"/>
  <c r="M210" i="2"/>
  <c r="M211" i="2"/>
  <c r="M212" i="2"/>
  <c r="M213" i="2"/>
  <c r="M214" i="2"/>
  <c r="M215" i="2"/>
  <c r="M216" i="2"/>
  <c r="M229" i="2"/>
  <c r="M230" i="2"/>
  <c r="M231" i="2"/>
  <c r="O231" i="2" s="1"/>
  <c r="M232" i="2"/>
  <c r="M233" i="2"/>
  <c r="M234" i="2"/>
  <c r="M235" i="2"/>
  <c r="M236" i="2"/>
  <c r="M237" i="2"/>
  <c r="M238" i="2"/>
  <c r="M239" i="2"/>
  <c r="M240" i="2"/>
  <c r="M241" i="2"/>
  <c r="M242" i="2"/>
  <c r="M243" i="2"/>
  <c r="M244" i="2"/>
  <c r="M245" i="2"/>
  <c r="O245" i="2" s="1"/>
  <c r="M246" i="2"/>
  <c r="M247" i="2"/>
  <c r="M248" i="2"/>
  <c r="M249" i="2"/>
  <c r="M250" i="2"/>
  <c r="M251" i="2"/>
  <c r="M252" i="2"/>
  <c r="M253" i="2"/>
  <c r="M254" i="2"/>
  <c r="O254" i="2" s="1"/>
  <c r="M255" i="2"/>
  <c r="O255" i="2" s="1"/>
  <c r="M256" i="2"/>
  <c r="M257" i="2"/>
  <c r="O257" i="2" s="1"/>
  <c r="M258" i="2"/>
  <c r="O258" i="2" s="1"/>
  <c r="M259" i="2"/>
  <c r="M260" i="2"/>
  <c r="M261" i="2"/>
  <c r="M262" i="2"/>
  <c r="M263" i="2"/>
  <c r="M264" i="2"/>
  <c r="M265" i="2"/>
  <c r="M266" i="2"/>
  <c r="O266" i="2" s="1"/>
  <c r="M267" i="2"/>
  <c r="M268" i="2"/>
  <c r="M269" i="2"/>
  <c r="M270" i="2"/>
  <c r="O270" i="2" s="1"/>
  <c r="M271" i="2"/>
  <c r="M272" i="2"/>
  <c r="O272" i="2" s="1"/>
  <c r="M273" i="2"/>
  <c r="M274" i="2"/>
  <c r="M275" i="2"/>
  <c r="M276" i="2"/>
  <c r="M277" i="2"/>
  <c r="M278" i="2"/>
  <c r="M279" i="2"/>
  <c r="M280" i="2"/>
  <c r="O280" i="2" s="1"/>
  <c r="M281" i="2"/>
  <c r="M282" i="2"/>
  <c r="O282" i="2" s="1"/>
  <c r="M283" i="2"/>
  <c r="M284" i="2"/>
  <c r="O284" i="2" s="1"/>
  <c r="M287" i="2"/>
  <c r="O287" i="2" s="1"/>
  <c r="M288" i="2"/>
  <c r="M289" i="2"/>
  <c r="O289" i="2" s="1"/>
  <c r="M290" i="2"/>
  <c r="M291" i="2"/>
  <c r="M292" i="2"/>
  <c r="M293" i="2"/>
  <c r="M294" i="2"/>
  <c r="M295" i="2"/>
  <c r="M296" i="2"/>
  <c r="M297" i="2"/>
  <c r="M298" i="2"/>
  <c r="O298" i="2" s="1"/>
  <c r="M299" i="2"/>
  <c r="M300" i="2"/>
  <c r="M301" i="2"/>
  <c r="O301" i="2" s="1"/>
  <c r="M302" i="2"/>
  <c r="M303" i="2"/>
  <c r="M304" i="2"/>
  <c r="M305" i="2"/>
  <c r="M306" i="2"/>
  <c r="M307" i="2"/>
  <c r="O307" i="2" s="1"/>
  <c r="M308" i="2"/>
  <c r="O308" i="2" s="1"/>
  <c r="M309" i="2"/>
  <c r="O309" i="2" s="1"/>
  <c r="M310" i="2"/>
  <c r="M311" i="2"/>
  <c r="M312" i="2"/>
  <c r="M324" i="2"/>
  <c r="M325" i="2"/>
  <c r="M326" i="2"/>
  <c r="M327" i="2"/>
  <c r="M328" i="2"/>
  <c r="O328" i="2" s="1"/>
  <c r="M329" i="2"/>
  <c r="M330" i="2"/>
  <c r="O330" i="2" s="1"/>
  <c r="M331" i="2"/>
  <c r="O331" i="2" s="1"/>
  <c r="M332" i="2"/>
  <c r="M334" i="2"/>
  <c r="M335" i="2"/>
  <c r="O335" i="2" s="1"/>
  <c r="M336" i="2"/>
  <c r="M337" i="2"/>
  <c r="M338" i="2"/>
  <c r="M339" i="2"/>
  <c r="M340" i="2"/>
  <c r="M342" i="2"/>
  <c r="M343" i="2"/>
  <c r="M344" i="2"/>
  <c r="M345" i="2"/>
  <c r="M346" i="2"/>
  <c r="M347" i="2"/>
  <c r="O347" i="2" s="1"/>
  <c r="M348" i="2"/>
  <c r="M349" i="2"/>
  <c r="M350" i="2"/>
  <c r="M351" i="2"/>
  <c r="M352" i="2"/>
  <c r="O352" i="2" s="1"/>
  <c r="M353" i="2"/>
  <c r="O353" i="2" s="1"/>
  <c r="M356" i="2"/>
  <c r="M357" i="2"/>
  <c r="O357" i="2" s="1"/>
  <c r="M358" i="2"/>
  <c r="M359" i="2"/>
  <c r="M360" i="2"/>
  <c r="M361" i="2"/>
  <c r="M362" i="2"/>
  <c r="O362" i="2" s="1"/>
  <c r="M365" i="2"/>
  <c r="M366" i="2"/>
  <c r="M367" i="2"/>
  <c r="O367" i="2" s="1"/>
  <c r="M368" i="2"/>
  <c r="O368" i="2" s="1"/>
  <c r="M369" i="2"/>
  <c r="M370" i="2"/>
  <c r="O370" i="2" s="1"/>
  <c r="M371" i="2"/>
  <c r="O371" i="2" s="1"/>
  <c r="M372" i="2"/>
  <c r="M373" i="2"/>
  <c r="M374" i="2"/>
  <c r="M382" i="2"/>
  <c r="M383" i="2"/>
  <c r="M384" i="2"/>
  <c r="M385" i="2"/>
  <c r="M386" i="2"/>
  <c r="M387" i="2"/>
  <c r="M388" i="2"/>
  <c r="M389" i="2"/>
  <c r="O389" i="2" s="1"/>
  <c r="M390" i="2"/>
  <c r="M391" i="2"/>
  <c r="M398" i="2"/>
  <c r="M399" i="2"/>
  <c r="M400" i="2"/>
  <c r="M401" i="2"/>
  <c r="M402" i="2"/>
  <c r="M403" i="2"/>
  <c r="O403" i="2" s="1"/>
  <c r="M408" i="2"/>
  <c r="M409" i="2"/>
  <c r="M410" i="2"/>
  <c r="O410" i="2" s="1"/>
  <c r="M411" i="2"/>
  <c r="O411" i="2" s="1"/>
  <c r="M412" i="2"/>
  <c r="M413" i="2"/>
  <c r="O413" i="2" s="1"/>
  <c r="M423" i="2"/>
  <c r="M424" i="2"/>
  <c r="M425" i="2"/>
  <c r="M426" i="2"/>
  <c r="M427" i="2"/>
  <c r="M428" i="2"/>
  <c r="M429" i="2"/>
  <c r="M430" i="2"/>
  <c r="M431" i="2"/>
  <c r="M432" i="2"/>
  <c r="M433" i="2"/>
  <c r="M434" i="2"/>
  <c r="M435" i="2"/>
  <c r="M436" i="2"/>
  <c r="M437" i="2"/>
  <c r="M438" i="2"/>
  <c r="M439" i="2"/>
  <c r="M440" i="2"/>
  <c r="M441" i="2"/>
  <c r="M442" i="2"/>
  <c r="O442" i="2" s="1"/>
  <c r="M443" i="2"/>
  <c r="M444" i="2"/>
  <c r="M445" i="2"/>
  <c r="M446" i="2"/>
  <c r="O446" i="2" s="1"/>
  <c r="M447" i="2"/>
  <c r="M448" i="2"/>
  <c r="M449" i="2"/>
  <c r="M450" i="2"/>
  <c r="M464" i="2"/>
  <c r="M465" i="2"/>
  <c r="M466" i="2"/>
  <c r="O466" i="2" s="1"/>
  <c r="M467" i="2"/>
  <c r="O467" i="2" s="1"/>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4" i="2"/>
  <c r="M505" i="2"/>
  <c r="M506" i="2"/>
  <c r="M507" i="2"/>
  <c r="M508" i="2"/>
  <c r="O508" i="2" s="1"/>
  <c r="M510" i="2"/>
  <c r="O510" i="2" s="1"/>
  <c r="M511" i="2"/>
  <c r="M512" i="2"/>
  <c r="M513" i="2"/>
  <c r="M514" i="2"/>
  <c r="M515" i="2"/>
  <c r="O515" i="2" s="1"/>
  <c r="M519" i="2"/>
  <c r="M520" i="2"/>
  <c r="M521" i="2"/>
  <c r="M522" i="2"/>
  <c r="M523" i="2"/>
  <c r="M524" i="2"/>
  <c r="M525" i="2"/>
  <c r="M526" i="2"/>
  <c r="M527" i="2"/>
  <c r="M528" i="2"/>
  <c r="M529" i="2"/>
  <c r="M530" i="2"/>
  <c r="M531" i="2"/>
  <c r="M532" i="2"/>
  <c r="M533" i="2"/>
  <c r="M534" i="2"/>
  <c r="M535" i="2"/>
  <c r="O535" i="2" s="1"/>
  <c r="M536" i="2"/>
  <c r="M537" i="2"/>
  <c r="M539" i="2"/>
  <c r="M540" i="2"/>
  <c r="M541" i="2"/>
  <c r="M542" i="2"/>
  <c r="M543" i="2"/>
  <c r="M544" i="2"/>
  <c r="M546" i="2"/>
  <c r="M547" i="2"/>
  <c r="O547" i="2" s="1"/>
  <c r="M548" i="2"/>
  <c r="M549" i="2"/>
  <c r="M550" i="2"/>
  <c r="M551" i="2"/>
  <c r="M552" i="2"/>
  <c r="M553" i="2"/>
  <c r="M554" i="2"/>
  <c r="M555" i="2"/>
  <c r="M556" i="2"/>
  <c r="M557" i="2"/>
  <c r="M558" i="2"/>
  <c r="M559" i="2"/>
  <c r="M560" i="2"/>
  <c r="M564" i="2"/>
  <c r="M565" i="2"/>
  <c r="O565" i="2" s="1"/>
  <c r="M566" i="2"/>
  <c r="O566" i="2" s="1"/>
  <c r="M567" i="2"/>
  <c r="O567" i="2" s="1"/>
  <c r="M568" i="2"/>
  <c r="M569" i="2"/>
  <c r="M570" i="2"/>
  <c r="M571" i="2"/>
  <c r="O571" i="2" s="1"/>
  <c r="M572" i="2"/>
  <c r="M573" i="2"/>
  <c r="M574" i="2"/>
  <c r="M575" i="2"/>
  <c r="M576" i="2"/>
  <c r="O576" i="2" s="1"/>
  <c r="M580" i="2"/>
  <c r="M581" i="2"/>
  <c r="O581" i="2" s="1"/>
  <c r="M582" i="2"/>
  <c r="M583" i="2"/>
  <c r="M584" i="2"/>
  <c r="M585" i="2"/>
  <c r="M586" i="2"/>
  <c r="M587" i="2"/>
  <c r="M588" i="2"/>
  <c r="M590" i="2"/>
  <c r="M591" i="2"/>
  <c r="M592" i="2"/>
  <c r="M593" i="2"/>
  <c r="M594" i="2"/>
  <c r="M595" i="2"/>
  <c r="M596" i="2"/>
  <c r="M597" i="2"/>
  <c r="M598" i="2"/>
  <c r="M599" i="2"/>
  <c r="M600" i="2"/>
  <c r="M601" i="2"/>
  <c r="O601" i="2" s="1"/>
  <c r="M602" i="2"/>
  <c r="M603" i="2"/>
  <c r="M604" i="2"/>
  <c r="O604" i="2" s="1"/>
  <c r="M605" i="2"/>
  <c r="O605" i="2" s="1"/>
  <c r="M606" i="2"/>
  <c r="M607" i="2"/>
  <c r="M608" i="2"/>
  <c r="M609" i="2"/>
  <c r="M610" i="2"/>
  <c r="M611" i="2"/>
  <c r="O611" i="2" s="1"/>
  <c r="M612" i="2"/>
  <c r="M613" i="2"/>
  <c r="O613" i="2" s="1"/>
  <c r="M614" i="2"/>
  <c r="O614" i="2" s="1"/>
  <c r="M615" i="2"/>
  <c r="M616" i="2"/>
  <c r="M617" i="2"/>
  <c r="M618" i="2"/>
  <c r="M619" i="2"/>
  <c r="M620" i="2"/>
  <c r="M621" i="2"/>
  <c r="M622" i="2"/>
  <c r="M623" i="2"/>
  <c r="M624" i="2"/>
  <c r="O624" i="2" s="1"/>
  <c r="M628" i="2"/>
  <c r="M629" i="2"/>
  <c r="M630" i="2"/>
  <c r="M631" i="2"/>
  <c r="M632" i="2"/>
  <c r="M633" i="2"/>
  <c r="M634" i="2"/>
  <c r="M635" i="2"/>
  <c r="O635" i="2" s="1"/>
  <c r="M636" i="2"/>
  <c r="M637" i="2"/>
  <c r="O637" i="2" s="1"/>
  <c r="M638" i="2"/>
  <c r="M639" i="2"/>
  <c r="M640" i="2"/>
  <c r="O640" i="2" s="1"/>
  <c r="M641" i="2"/>
  <c r="M642" i="2"/>
  <c r="M643" i="2"/>
  <c r="M644" i="2"/>
  <c r="M645" i="2"/>
  <c r="M646" i="2"/>
  <c r="M647" i="2"/>
  <c r="M648" i="2"/>
  <c r="M652" i="2"/>
  <c r="M653" i="2"/>
  <c r="M654" i="2"/>
  <c r="M655" i="2"/>
  <c r="M656" i="2"/>
  <c r="M657" i="2"/>
  <c r="M658" i="2"/>
  <c r="M659" i="2"/>
  <c r="O659" i="2" s="1"/>
  <c r="M663" i="2"/>
  <c r="M664" i="2"/>
  <c r="M665" i="2"/>
  <c r="M666" i="2"/>
  <c r="O666" i="2" s="1"/>
  <c r="M667" i="2"/>
  <c r="M668" i="2"/>
  <c r="M669" i="2"/>
  <c r="M670" i="2"/>
  <c r="M671" i="2"/>
  <c r="M675" i="2"/>
  <c r="O675" i="2" s="1"/>
  <c r="M676" i="2"/>
  <c r="M677" i="2"/>
  <c r="M678" i="2"/>
  <c r="M679" i="2"/>
  <c r="M680" i="2"/>
  <c r="O680" i="2" s="1"/>
  <c r="M681" i="2"/>
  <c r="M682" i="2"/>
  <c r="O682" i="2" s="1"/>
  <c r="M683" i="2"/>
  <c r="O683" i="2" s="1"/>
  <c r="M684" i="2"/>
  <c r="M685" i="2"/>
  <c r="O685" i="2" s="1"/>
  <c r="M686" i="2"/>
  <c r="M687" i="2"/>
  <c r="M688" i="2"/>
  <c r="M689" i="2"/>
  <c r="M690" i="2"/>
  <c r="M691" i="2"/>
  <c r="M692" i="2"/>
  <c r="M693" i="2"/>
  <c r="M694" i="2"/>
  <c r="M695" i="2"/>
  <c r="O695" i="2" s="1"/>
  <c r="M696" i="2"/>
  <c r="M697" i="2"/>
  <c r="M698" i="2"/>
  <c r="M699" i="2"/>
  <c r="M700" i="2"/>
  <c r="M701" i="2"/>
  <c r="M702" i="2"/>
  <c r="M703" i="2"/>
  <c r="M704" i="2"/>
  <c r="M705" i="2"/>
  <c r="M706" i="2"/>
  <c r="M707" i="2"/>
  <c r="O707" i="2" s="1"/>
  <c r="M708" i="2"/>
  <c r="M709" i="2"/>
  <c r="O709" i="2" s="1"/>
  <c r="M710" i="2"/>
  <c r="M711" i="2"/>
  <c r="M712" i="2"/>
  <c r="M713" i="2"/>
  <c r="M714" i="2"/>
  <c r="M715" i="2"/>
  <c r="M716" i="2"/>
  <c r="O716" i="2" s="1"/>
  <c r="M717" i="2"/>
  <c r="M718" i="2"/>
  <c r="M719" i="2"/>
  <c r="O719" i="2" s="1"/>
  <c r="M720" i="2"/>
  <c r="M721" i="2"/>
  <c r="O721" i="2" s="1"/>
  <c r="M722" i="2"/>
  <c r="O722" i="2" s="1"/>
  <c r="M723" i="2"/>
  <c r="M724" i="2"/>
  <c r="O724" i="2" s="1"/>
  <c r="M725" i="2"/>
  <c r="M726" i="2"/>
  <c r="O726" i="2" s="1"/>
  <c r="M727" i="2"/>
  <c r="M728" i="2"/>
  <c r="M729" i="2"/>
  <c r="M730" i="2"/>
  <c r="M731" i="2"/>
  <c r="M732" i="2"/>
  <c r="M733" i="2"/>
  <c r="M734" i="2"/>
  <c r="M737" i="2"/>
  <c r="O738" i="2"/>
  <c r="M739" i="2"/>
  <c r="M740" i="2"/>
  <c r="O740" i="2" s="1"/>
  <c r="M741" i="2"/>
  <c r="M742" i="2"/>
  <c r="O742" i="2" s="1"/>
  <c r="M743" i="2"/>
  <c r="O743" i="2" s="1"/>
  <c r="M744" i="2"/>
  <c r="M745" i="2"/>
  <c r="M746" i="2"/>
  <c r="M747" i="2"/>
  <c r="O747" i="2" s="1"/>
  <c r="M748" i="2"/>
  <c r="O748" i="2" s="1"/>
  <c r="M749" i="2"/>
  <c r="M750" i="2"/>
  <c r="M751" i="2"/>
  <c r="M752" i="2"/>
  <c r="M753" i="2"/>
  <c r="M757" i="2"/>
  <c r="O757" i="2" s="1"/>
  <c r="M758" i="2"/>
  <c r="M759" i="2"/>
  <c r="M760" i="2"/>
  <c r="O760" i="2" s="1"/>
  <c r="M761" i="2"/>
  <c r="M762" i="2"/>
  <c r="M763" i="2"/>
  <c r="M764" i="2"/>
  <c r="M765" i="2"/>
  <c r="M789" i="2"/>
  <c r="M790" i="2"/>
  <c r="M791" i="2"/>
  <c r="M792" i="2"/>
  <c r="M793" i="2"/>
  <c r="M794" i="2"/>
  <c r="M795" i="2"/>
  <c r="M796" i="2"/>
  <c r="M797" i="2"/>
  <c r="M798" i="2"/>
  <c r="M799" i="2"/>
  <c r="M800" i="2"/>
  <c r="M801" i="2"/>
  <c r="M802" i="2"/>
  <c r="M803" i="2"/>
  <c r="M804" i="2"/>
  <c r="M805" i="2"/>
  <c r="O805" i="2" s="1"/>
  <c r="M806" i="2"/>
  <c r="M807" i="2"/>
  <c r="M808" i="2"/>
  <c r="M809" i="2"/>
  <c r="M810" i="2"/>
  <c r="M811" i="2"/>
  <c r="M812" i="2"/>
  <c r="M813" i="2"/>
  <c r="M814" i="2"/>
  <c r="M815" i="2"/>
  <c r="O815" i="2" s="1"/>
  <c r="M816" i="2"/>
  <c r="M817" i="2"/>
  <c r="M818" i="2"/>
  <c r="M819" i="2"/>
  <c r="O819" i="2" s="1"/>
  <c r="M820" i="2"/>
  <c r="M821" i="2"/>
  <c r="M822" i="2"/>
  <c r="O822" i="2" s="1"/>
  <c r="M823" i="2"/>
  <c r="M824" i="2"/>
  <c r="O824" i="2" s="1"/>
  <c r="M825" i="2"/>
  <c r="O825" i="2" s="1"/>
  <c r="M826" i="2"/>
  <c r="M827" i="2"/>
  <c r="O827" i="2" s="1"/>
  <c r="M828" i="2"/>
  <c r="O828" i="2" s="1"/>
  <c r="M829" i="2"/>
  <c r="M830" i="2"/>
  <c r="M831" i="2"/>
  <c r="O831" i="2" s="1"/>
  <c r="M832" i="2"/>
  <c r="M833" i="2"/>
  <c r="M834" i="2"/>
  <c r="M835" i="2"/>
  <c r="M836" i="2"/>
  <c r="M837" i="2"/>
  <c r="M838" i="2"/>
  <c r="M840" i="2"/>
  <c r="M841" i="2"/>
  <c r="M842" i="2"/>
  <c r="M843" i="2"/>
  <c r="M844" i="2"/>
  <c r="M845" i="2"/>
  <c r="M846" i="2"/>
  <c r="O846" i="2" s="1"/>
  <c r="M847" i="2"/>
  <c r="M848" i="2"/>
  <c r="M849" i="2"/>
  <c r="O849" i="2" s="1"/>
  <c r="M850" i="2"/>
  <c r="M851" i="2"/>
  <c r="M852" i="2"/>
  <c r="O852" i="2" s="1"/>
  <c r="M853" i="2"/>
  <c r="O853" i="2" s="1"/>
  <c r="M854" i="2"/>
  <c r="M855" i="2"/>
  <c r="M856" i="2"/>
  <c r="M857" i="2"/>
  <c r="M858" i="2"/>
  <c r="O858" i="2" s="1"/>
  <c r="M862" i="2"/>
  <c r="M863" i="2"/>
  <c r="M864" i="2"/>
  <c r="M865" i="2"/>
  <c r="M866" i="2"/>
  <c r="M867" i="2"/>
  <c r="M868" i="2"/>
  <c r="M869" i="2"/>
  <c r="M870" i="2"/>
  <c r="M871" i="2"/>
  <c r="M872" i="2"/>
  <c r="M873" i="2"/>
  <c r="M874" i="2"/>
  <c r="M875" i="2"/>
  <c r="M876" i="2"/>
  <c r="M877" i="2"/>
  <c r="M878" i="2"/>
  <c r="M879" i="2"/>
  <c r="M880" i="2"/>
  <c r="M881" i="2"/>
  <c r="M882" i="2"/>
  <c r="M883" i="2"/>
  <c r="M884" i="2"/>
  <c r="O884" i="2" s="1"/>
  <c r="M885" i="2"/>
  <c r="M886" i="2"/>
  <c r="M887" i="2"/>
  <c r="M888" i="2"/>
  <c r="M889" i="2"/>
  <c r="O889" i="2" s="1"/>
  <c r="M890" i="2"/>
  <c r="O890" i="2" s="1"/>
  <c r="M891" i="2"/>
  <c r="M892" i="2"/>
  <c r="O892" i="2" s="1"/>
  <c r="M893" i="2"/>
  <c r="O893" i="2" s="1"/>
  <c r="M894" i="2"/>
  <c r="M895" i="2"/>
  <c r="M896" i="2"/>
  <c r="M897" i="2"/>
  <c r="M898" i="2"/>
  <c r="M899" i="2"/>
  <c r="M900" i="2"/>
  <c r="M901" i="2"/>
  <c r="M902" i="2"/>
  <c r="M903" i="2"/>
  <c r="O903" i="2" s="1"/>
  <c r="M907" i="2"/>
  <c r="M908" i="2"/>
  <c r="M909" i="2"/>
  <c r="M910" i="2"/>
  <c r="M911" i="2"/>
  <c r="M912" i="2"/>
  <c r="M913" i="2"/>
  <c r="P298" i="2" l="1"/>
  <c r="O14" i="2"/>
  <c r="P14" i="2" l="1"/>
  <c r="P914" i="2"/>
  <c r="P17" i="2"/>
  <c r="O18" i="2"/>
  <c r="O19" i="2"/>
  <c r="O20" i="2"/>
  <c r="P20" i="2" s="1"/>
  <c r="O21" i="2"/>
  <c r="O22" i="2"/>
  <c r="O23" i="2"/>
  <c r="O24" i="2"/>
  <c r="O25" i="2"/>
  <c r="O26" i="2"/>
  <c r="O27" i="2"/>
  <c r="P28" i="2"/>
  <c r="O29" i="2"/>
  <c r="P29" i="2" s="1"/>
  <c r="O30" i="2"/>
  <c r="P30" i="2" s="1"/>
  <c r="O32" i="2"/>
  <c r="O33" i="2"/>
  <c r="P34" i="2"/>
  <c r="P35" i="2"/>
  <c r="O36" i="2"/>
  <c r="O37" i="2"/>
  <c r="O38" i="2"/>
  <c r="O39" i="2"/>
  <c r="O40" i="2"/>
  <c r="O41" i="2"/>
  <c r="O42" i="2"/>
  <c r="P43" i="2"/>
  <c r="P44" i="2"/>
  <c r="O45" i="2"/>
  <c r="O46" i="2"/>
  <c r="P47" i="2"/>
  <c r="O48" i="2"/>
  <c r="P48" i="2" s="1"/>
  <c r="O49" i="2"/>
  <c r="P49" i="2" s="1"/>
  <c r="O50" i="2"/>
  <c r="P50" i="2" s="1"/>
  <c r="O51" i="2"/>
  <c r="P51" i="2" s="1"/>
  <c r="O52" i="2"/>
  <c r="P52" i="2" s="1"/>
  <c r="O53" i="2"/>
  <c r="P53" i="2" s="1"/>
  <c r="O54" i="2"/>
  <c r="P54" i="2" s="1"/>
  <c r="O55" i="2"/>
  <c r="P55" i="2" s="1"/>
  <c r="O56" i="2"/>
  <c r="P56" i="2" s="1"/>
  <c r="O57" i="2"/>
  <c r="P57" i="2" s="1"/>
  <c r="O58" i="2"/>
  <c r="P58" i="2" s="1"/>
  <c r="O59" i="2"/>
  <c r="P59" i="2" s="1"/>
  <c r="O60" i="2"/>
  <c r="P60" i="2" s="1"/>
  <c r="O61" i="2"/>
  <c r="P61" i="2" s="1"/>
  <c r="O62" i="2"/>
  <c r="P62" i="2" s="1"/>
  <c r="O63" i="2"/>
  <c r="P63" i="2" s="1"/>
  <c r="O64" i="2"/>
  <c r="P64" i="2" s="1"/>
  <c r="O65" i="2"/>
  <c r="P65" i="2" s="1"/>
  <c r="O66" i="2"/>
  <c r="P66" i="2" s="1"/>
  <c r="O67" i="2"/>
  <c r="P67" i="2" s="1"/>
  <c r="O68" i="2"/>
  <c r="P68" i="2" s="1"/>
  <c r="O69" i="2"/>
  <c r="P69" i="2" s="1"/>
  <c r="O70" i="2"/>
  <c r="P70" i="2" s="1"/>
  <c r="O71" i="2"/>
  <c r="P71" i="2" s="1"/>
  <c r="P75" i="2"/>
  <c r="O76" i="2"/>
  <c r="O77" i="2"/>
  <c r="O78" i="2"/>
  <c r="P78" i="2" s="1"/>
  <c r="O79" i="2"/>
  <c r="P79" i="2" s="1"/>
  <c r="O80" i="2"/>
  <c r="P80" i="2" s="1"/>
  <c r="O81" i="2"/>
  <c r="P81" i="2" s="1"/>
  <c r="O82" i="2"/>
  <c r="P82" i="2" s="1"/>
  <c r="O83" i="2"/>
  <c r="P83" i="2" s="1"/>
  <c r="O84" i="2"/>
  <c r="P84" i="2" s="1"/>
  <c r="P85" i="2"/>
  <c r="O86" i="2"/>
  <c r="O87" i="2"/>
  <c r="P88" i="2"/>
  <c r="O89" i="2"/>
  <c r="O90" i="2"/>
  <c r="O91" i="2"/>
  <c r="O92" i="2"/>
  <c r="O93" i="2"/>
  <c r="O94" i="2"/>
  <c r="O95" i="2"/>
  <c r="O96" i="2"/>
  <c r="O97" i="2"/>
  <c r="O98" i="2"/>
  <c r="O99" i="2"/>
  <c r="P100" i="2"/>
  <c r="P101" i="2"/>
  <c r="O102" i="2"/>
  <c r="P103" i="2"/>
  <c r="O104" i="2"/>
  <c r="O105" i="2"/>
  <c r="O106" i="2"/>
  <c r="O107" i="2"/>
  <c r="O108" i="2"/>
  <c r="P109" i="2"/>
  <c r="O110" i="2"/>
  <c r="P110" i="2" s="1"/>
  <c r="O111" i="2"/>
  <c r="P111" i="2" s="1"/>
  <c r="O112" i="2"/>
  <c r="P112" i="2" s="1"/>
  <c r="O113" i="2"/>
  <c r="P113" i="2" s="1"/>
  <c r="O114" i="2"/>
  <c r="P114" i="2" s="1"/>
  <c r="O115" i="2"/>
  <c r="P115" i="2" s="1"/>
  <c r="O116" i="2"/>
  <c r="P116" i="2" s="1"/>
  <c r="O117" i="2"/>
  <c r="P117" i="2" s="1"/>
  <c r="P118" i="2"/>
  <c r="O119" i="2"/>
  <c r="P120" i="2"/>
  <c r="P122" i="2"/>
  <c r="O123" i="2"/>
  <c r="O145" i="2"/>
  <c r="P146" i="2"/>
  <c r="O147" i="2"/>
  <c r="P148" i="2"/>
  <c r="P149" i="2"/>
  <c r="O150" i="2"/>
  <c r="O151" i="2"/>
  <c r="O152" i="2"/>
  <c r="O153" i="2"/>
  <c r="O154" i="2"/>
  <c r="O155" i="2"/>
  <c r="O156" i="2"/>
  <c r="P157" i="2"/>
  <c r="O158" i="2"/>
  <c r="O159" i="2"/>
  <c r="O160" i="2"/>
  <c r="P161" i="2"/>
  <c r="O162" i="2"/>
  <c r="O163" i="2"/>
  <c r="O164" i="2"/>
  <c r="O165" i="2"/>
  <c r="P166" i="2"/>
  <c r="O167" i="2"/>
  <c r="O168" i="2"/>
  <c r="O169" i="2"/>
  <c r="O170" i="2"/>
  <c r="P171" i="2"/>
  <c r="O172" i="2"/>
  <c r="P173" i="2"/>
  <c r="O174" i="2"/>
  <c r="P175" i="2"/>
  <c r="O176" i="2"/>
  <c r="O177" i="2"/>
  <c r="P178" i="2"/>
  <c r="O182" i="2"/>
  <c r="P183" i="2"/>
  <c r="P184" i="2"/>
  <c r="P185" i="2"/>
  <c r="O186" i="2"/>
  <c r="P186" i="2" s="1"/>
  <c r="O187" i="2"/>
  <c r="P187" i="2" s="1"/>
  <c r="O188" i="2"/>
  <c r="P188" i="2" s="1"/>
  <c r="O189" i="2"/>
  <c r="P189" i="2" s="1"/>
  <c r="O190" i="2"/>
  <c r="P190" i="2" s="1"/>
  <c r="O191" i="2"/>
  <c r="P191" i="2" s="1"/>
  <c r="O192" i="2"/>
  <c r="P192" i="2" s="1"/>
  <c r="P193" i="2"/>
  <c r="P194" i="2"/>
  <c r="O195" i="2"/>
  <c r="O196" i="2"/>
  <c r="O197" i="2"/>
  <c r="O198" i="2"/>
  <c r="O199" i="2"/>
  <c r="P200" i="2"/>
  <c r="O201" i="2"/>
  <c r="O202" i="2"/>
  <c r="P202" i="2" s="1"/>
  <c r="O203" i="2"/>
  <c r="P203" i="2" s="1"/>
  <c r="O204" i="2"/>
  <c r="P204" i="2" s="1"/>
  <c r="O205" i="2"/>
  <c r="P205" i="2" s="1"/>
  <c r="O206" i="2"/>
  <c r="P206" i="2" s="1"/>
  <c r="O207" i="2"/>
  <c r="P207" i="2" s="1"/>
  <c r="O208" i="2"/>
  <c r="P208" i="2" s="1"/>
  <c r="O209" i="2"/>
  <c r="P209" i="2" s="1"/>
  <c r="O210" i="2"/>
  <c r="P210" i="2" s="1"/>
  <c r="O211" i="2"/>
  <c r="P211" i="2" s="1"/>
  <c r="O212" i="2"/>
  <c r="P212" i="2" s="1"/>
  <c r="O213" i="2"/>
  <c r="P213" i="2" s="1"/>
  <c r="O214" i="2"/>
  <c r="P214" i="2" s="1"/>
  <c r="O215" i="2"/>
  <c r="P215" i="2" s="1"/>
  <c r="O216" i="2"/>
  <c r="P216" i="2" s="1"/>
  <c r="P229" i="2"/>
  <c r="O230" i="2"/>
  <c r="P231" i="2"/>
  <c r="O232" i="2"/>
  <c r="P232" i="2" s="1"/>
  <c r="O233" i="2"/>
  <c r="O234" i="2"/>
  <c r="O235" i="2"/>
  <c r="O236" i="2"/>
  <c r="O237" i="2"/>
  <c r="O238" i="2"/>
  <c r="O239" i="2"/>
  <c r="O240" i="2"/>
  <c r="O241" i="2"/>
  <c r="O242" i="2"/>
  <c r="O243" i="2"/>
  <c r="O244" i="2"/>
  <c r="P245" i="2"/>
  <c r="O246" i="2"/>
  <c r="O247" i="2"/>
  <c r="O248" i="2"/>
  <c r="O249" i="2"/>
  <c r="O250" i="2"/>
  <c r="O251" i="2"/>
  <c r="O252" i="2"/>
  <c r="O253" i="2"/>
  <c r="P254" i="2"/>
  <c r="P255" i="2"/>
  <c r="O256" i="2"/>
  <c r="P257" i="2"/>
  <c r="P258" i="2"/>
  <c r="O259" i="2"/>
  <c r="O260" i="2"/>
  <c r="O261" i="2"/>
  <c r="O262" i="2"/>
  <c r="P263" i="2"/>
  <c r="P264" i="2"/>
  <c r="O265" i="2"/>
  <c r="P266" i="2"/>
  <c r="O267" i="2"/>
  <c r="P267" i="2" s="1"/>
  <c r="O268" i="2"/>
  <c r="O269" i="2"/>
  <c r="P270" i="2"/>
  <c r="O271" i="2"/>
  <c r="P272" i="2"/>
  <c r="O273" i="2"/>
  <c r="O274" i="2"/>
  <c r="O275" i="2"/>
  <c r="O276" i="2"/>
  <c r="O277" i="2"/>
  <c r="O278" i="2"/>
  <c r="O279" i="2"/>
  <c r="P280" i="2"/>
  <c r="O281" i="2"/>
  <c r="P282" i="2"/>
  <c r="O283" i="2"/>
  <c r="P284" i="2"/>
  <c r="P286" i="2"/>
  <c r="P287" i="2"/>
  <c r="O288" i="2"/>
  <c r="P289" i="2"/>
  <c r="O290" i="2"/>
  <c r="P290" i="2" s="1"/>
  <c r="O291" i="2"/>
  <c r="P291" i="2" s="1"/>
  <c r="O292" i="2"/>
  <c r="O293" i="2"/>
  <c r="P293" i="2" s="1"/>
  <c r="O294" i="2"/>
  <c r="P294" i="2" s="1"/>
  <c r="O295" i="2"/>
  <c r="P295" i="2" s="1"/>
  <c r="P296" i="2"/>
  <c r="P297" i="2"/>
  <c r="O299" i="2"/>
  <c r="P299" i="2" s="1"/>
  <c r="O300" i="2"/>
  <c r="P300" i="2" s="1"/>
  <c r="P301" i="2"/>
  <c r="O302" i="2"/>
  <c r="P303" i="2"/>
  <c r="O304" i="2"/>
  <c r="O305" i="2"/>
  <c r="O306" i="2"/>
  <c r="P307" i="2"/>
  <c r="P308" i="2"/>
  <c r="P309" i="2"/>
  <c r="O310" i="2"/>
  <c r="O311" i="2"/>
  <c r="P312" i="2"/>
  <c r="O324" i="2"/>
  <c r="O325" i="2"/>
  <c r="O326" i="2"/>
  <c r="O327" i="2"/>
  <c r="P328" i="2"/>
  <c r="O329" i="2"/>
  <c r="P330" i="2"/>
  <c r="P331" i="2"/>
  <c r="O332" i="2"/>
  <c r="O334" i="2"/>
  <c r="P335" i="2"/>
  <c r="O336" i="2"/>
  <c r="O337" i="2"/>
  <c r="O338" i="2"/>
  <c r="P338" i="2" s="1"/>
  <c r="O339" i="2"/>
  <c r="P339" i="2" s="1"/>
  <c r="O340" i="2"/>
  <c r="P340" i="2" s="1"/>
  <c r="O342" i="2"/>
  <c r="P343" i="2"/>
  <c r="O344" i="2"/>
  <c r="O345" i="2"/>
  <c r="O346" i="2"/>
  <c r="P347" i="2"/>
  <c r="O348" i="2"/>
  <c r="P348" i="2" s="1"/>
  <c r="O349" i="2"/>
  <c r="O350" i="2"/>
  <c r="O351" i="2"/>
  <c r="P352" i="2"/>
  <c r="P353" i="2"/>
  <c r="O354" i="2"/>
  <c r="O355" i="2"/>
  <c r="O356" i="2"/>
  <c r="P357" i="2"/>
  <c r="O358" i="2"/>
  <c r="O359" i="2"/>
  <c r="O360" i="2"/>
  <c r="O361" i="2"/>
  <c r="P362" i="2"/>
  <c r="O365" i="2"/>
  <c r="P365" i="2" s="1"/>
  <c r="O366" i="2"/>
  <c r="P367" i="2"/>
  <c r="P368" i="2"/>
  <c r="P369" i="2"/>
  <c r="P370" i="2"/>
  <c r="P371" i="2"/>
  <c r="O372" i="2"/>
  <c r="O373" i="2"/>
  <c r="P374" i="2"/>
  <c r="O382" i="2"/>
  <c r="P382" i="2" s="1"/>
  <c r="O383" i="2"/>
  <c r="P383" i="2" s="1"/>
  <c r="O384" i="2"/>
  <c r="P384" i="2" s="1"/>
  <c r="O385" i="2"/>
  <c r="P385" i="2" s="1"/>
  <c r="P386" i="2"/>
  <c r="O387" i="2"/>
  <c r="O388" i="2"/>
  <c r="P389" i="2"/>
  <c r="O390" i="2"/>
  <c r="O391" i="2"/>
  <c r="O398" i="2"/>
  <c r="P398" i="2" s="1"/>
  <c r="O399" i="2"/>
  <c r="P399" i="2" s="1"/>
  <c r="O400" i="2"/>
  <c r="P400" i="2" s="1"/>
  <c r="O401" i="2"/>
  <c r="P401" i="2" s="1"/>
  <c r="O402" i="2"/>
  <c r="P402" i="2" s="1"/>
  <c r="P403" i="2"/>
  <c r="P408" i="2"/>
  <c r="O409" i="2"/>
  <c r="P410" i="2"/>
  <c r="P411" i="2"/>
  <c r="O412" i="2"/>
  <c r="P413" i="2"/>
  <c r="O423" i="2"/>
  <c r="P423" i="2" s="1"/>
  <c r="O424" i="2"/>
  <c r="P424" i="2" s="1"/>
  <c r="O425" i="2"/>
  <c r="P425" i="2" s="1"/>
  <c r="O426" i="2"/>
  <c r="P426" i="2" s="1"/>
  <c r="O427" i="2"/>
  <c r="P427" i="2" s="1"/>
  <c r="O428" i="2"/>
  <c r="P428" i="2" s="1"/>
  <c r="O429" i="2"/>
  <c r="P429" i="2" s="1"/>
  <c r="O430" i="2"/>
  <c r="P430" i="2" s="1"/>
  <c r="P431" i="2"/>
  <c r="O432" i="2"/>
  <c r="O433" i="2"/>
  <c r="O434" i="2"/>
  <c r="P435" i="2"/>
  <c r="O436" i="2"/>
  <c r="O437" i="2"/>
  <c r="O438" i="2"/>
  <c r="O439" i="2"/>
  <c r="O440" i="2"/>
  <c r="O441" i="2"/>
  <c r="P442" i="2"/>
  <c r="O443" i="2"/>
  <c r="O444" i="2"/>
  <c r="O445" i="2"/>
  <c r="P446" i="2"/>
  <c r="O447" i="2"/>
  <c r="P447" i="2" s="1"/>
  <c r="O448" i="2"/>
  <c r="P448" i="2" s="1"/>
  <c r="O449" i="2"/>
  <c r="P449" i="2" s="1"/>
  <c r="O450" i="2"/>
  <c r="P464" i="2"/>
  <c r="O465" i="2"/>
  <c r="P466" i="2"/>
  <c r="P467" i="2"/>
  <c r="O468" i="2"/>
  <c r="O469" i="2"/>
  <c r="P469" i="2" s="1"/>
  <c r="O470" i="2"/>
  <c r="P470" i="2" s="1"/>
  <c r="O471" i="2"/>
  <c r="P471" i="2" s="1"/>
  <c r="P472" i="2"/>
  <c r="O473" i="2"/>
  <c r="O474" i="2"/>
  <c r="P475" i="2"/>
  <c r="O476" i="2"/>
  <c r="P476" i="2" s="1"/>
  <c r="O477" i="2"/>
  <c r="P477" i="2" s="1"/>
  <c r="P478" i="2"/>
  <c r="O479" i="2"/>
  <c r="O480" i="2"/>
  <c r="P480" i="2" s="1"/>
  <c r="O481" i="2"/>
  <c r="P481" i="2" s="1"/>
  <c r="O482" i="2"/>
  <c r="P482" i="2" s="1"/>
  <c r="O483" i="2"/>
  <c r="P483" i="2" s="1"/>
  <c r="O484" i="2"/>
  <c r="P484" i="2" s="1"/>
  <c r="O485" i="2"/>
  <c r="P485" i="2" s="1"/>
  <c r="O486" i="2"/>
  <c r="P486" i="2" s="1"/>
  <c r="O487" i="2"/>
  <c r="P487" i="2" s="1"/>
  <c r="O488" i="2"/>
  <c r="P488" i="2" s="1"/>
  <c r="O489" i="2"/>
  <c r="P489" i="2" s="1"/>
  <c r="O490" i="2"/>
  <c r="P490" i="2" s="1"/>
  <c r="O491" i="2"/>
  <c r="P491" i="2" s="1"/>
  <c r="O492" i="2"/>
  <c r="P492" i="2" s="1"/>
  <c r="O493" i="2"/>
  <c r="P493" i="2" s="1"/>
  <c r="O494" i="2"/>
  <c r="P494" i="2" s="1"/>
  <c r="O495" i="2"/>
  <c r="P495" i="2" s="1"/>
  <c r="O496" i="2"/>
  <c r="P496" i="2" s="1"/>
  <c r="O497" i="2"/>
  <c r="P497" i="2" s="1"/>
  <c r="O498" i="2"/>
  <c r="P498" i="2" s="1"/>
  <c r="O499" i="2"/>
  <c r="P499" i="2" s="1"/>
  <c r="O500" i="2"/>
  <c r="P500" i="2" s="1"/>
  <c r="O501" i="2"/>
  <c r="P501" i="2" s="1"/>
  <c r="O502" i="2"/>
  <c r="P502" i="2" s="1"/>
  <c r="P503" i="2"/>
  <c r="O504" i="2"/>
  <c r="P504" i="2" s="1"/>
  <c r="O505" i="2"/>
  <c r="P505" i="2" s="1"/>
  <c r="O506" i="2"/>
  <c r="P506" i="2" s="1"/>
  <c r="P507" i="2"/>
  <c r="P508" i="2"/>
  <c r="P510" i="2"/>
  <c r="P511" i="2"/>
  <c r="O512" i="2"/>
  <c r="P512" i="2" s="1"/>
  <c r="O513" i="2"/>
  <c r="P513" i="2" s="1"/>
  <c r="P514" i="2"/>
  <c r="P515" i="2"/>
  <c r="O519" i="2"/>
  <c r="P519" i="2" s="1"/>
  <c r="O520" i="2"/>
  <c r="P520" i="2" s="1"/>
  <c r="O521" i="2"/>
  <c r="P521" i="2" s="1"/>
  <c r="O522" i="2"/>
  <c r="P522" i="2" s="1"/>
  <c r="O523" i="2"/>
  <c r="P523" i="2" s="1"/>
  <c r="O524" i="2"/>
  <c r="P524" i="2" s="1"/>
  <c r="O525" i="2"/>
  <c r="P525" i="2" s="1"/>
  <c r="O526" i="2"/>
  <c r="P526" i="2" s="1"/>
  <c r="O527" i="2"/>
  <c r="P527" i="2" s="1"/>
  <c r="O528" i="2"/>
  <c r="P528" i="2" s="1"/>
  <c r="O529" i="2"/>
  <c r="P529" i="2" s="1"/>
  <c r="O530" i="2"/>
  <c r="P530" i="2" s="1"/>
  <c r="O531" i="2"/>
  <c r="P531" i="2" s="1"/>
  <c r="O532" i="2"/>
  <c r="P532" i="2" s="1"/>
  <c r="O533" i="2"/>
  <c r="P533" i="2" s="1"/>
  <c r="O534" i="2"/>
  <c r="P534" i="2" s="1"/>
  <c r="P535" i="2"/>
  <c r="O536" i="2"/>
  <c r="O537" i="2"/>
  <c r="O538" i="2"/>
  <c r="O539" i="2"/>
  <c r="O540" i="2"/>
  <c r="O541" i="2"/>
  <c r="O542" i="2"/>
  <c r="O543" i="2"/>
  <c r="O544" i="2"/>
  <c r="O545" i="2"/>
  <c r="O546" i="2"/>
  <c r="P547" i="2"/>
  <c r="O548" i="2"/>
  <c r="O549" i="2"/>
  <c r="O550" i="2"/>
  <c r="O551" i="2"/>
  <c r="O552" i="2"/>
  <c r="O553" i="2"/>
  <c r="O554" i="2"/>
  <c r="P555" i="2"/>
  <c r="P556" i="2"/>
  <c r="O557" i="2"/>
  <c r="P557" i="2" s="1"/>
  <c r="O558" i="2"/>
  <c r="P558" i="2" s="1"/>
  <c r="P559" i="2"/>
  <c r="P560" i="2"/>
  <c r="O564" i="2"/>
  <c r="P565" i="2"/>
  <c r="P566" i="2"/>
  <c r="P567" i="2"/>
  <c r="O568" i="2"/>
  <c r="O569" i="2"/>
  <c r="O570" i="2"/>
  <c r="P571" i="2"/>
  <c r="O573" i="2"/>
  <c r="P573" i="2" s="1"/>
  <c r="O574" i="2"/>
  <c r="P574" i="2" s="1"/>
  <c r="P575" i="2"/>
  <c r="P576" i="2"/>
  <c r="O580" i="2"/>
  <c r="P580" i="2" s="1"/>
  <c r="P581" i="2"/>
  <c r="O582" i="2"/>
  <c r="P582" i="2" s="1"/>
  <c r="O583" i="2"/>
  <c r="P583" i="2" s="1"/>
  <c r="O584" i="2"/>
  <c r="P584" i="2" s="1"/>
  <c r="O585" i="2"/>
  <c r="P585" i="2" s="1"/>
  <c r="O586" i="2"/>
  <c r="P586" i="2" s="1"/>
  <c r="O587" i="2"/>
  <c r="P587" i="2" s="1"/>
  <c r="O588" i="2"/>
  <c r="P588" i="2" s="1"/>
  <c r="O590" i="2"/>
  <c r="O591" i="2"/>
  <c r="O592" i="2"/>
  <c r="O593" i="2"/>
  <c r="O594" i="2"/>
  <c r="O595" i="2"/>
  <c r="O596" i="2"/>
  <c r="O597" i="2"/>
  <c r="O598" i="2"/>
  <c r="O599" i="2"/>
  <c r="O600" i="2"/>
  <c r="P601" i="2"/>
  <c r="O602" i="2"/>
  <c r="O603" i="2"/>
  <c r="P604" i="2"/>
  <c r="P605" i="2"/>
  <c r="O606" i="2"/>
  <c r="O607" i="2"/>
  <c r="O608" i="2"/>
  <c r="O609" i="2"/>
  <c r="O610" i="2"/>
  <c r="P611" i="2"/>
  <c r="O612" i="2"/>
  <c r="P613" i="2"/>
  <c r="P614" i="2"/>
  <c r="O615" i="2"/>
  <c r="O616" i="2"/>
  <c r="O617" i="2"/>
  <c r="O618" i="2"/>
  <c r="P619" i="2"/>
  <c r="P620" i="2"/>
  <c r="O621" i="2"/>
  <c r="P621" i="2" s="1"/>
  <c r="O622" i="2"/>
  <c r="P622" i="2" s="1"/>
  <c r="O623" i="2"/>
  <c r="P623" i="2" s="1"/>
  <c r="P624" i="2"/>
  <c r="O628" i="2"/>
  <c r="P628" i="2" s="1"/>
  <c r="O629" i="2"/>
  <c r="P629" i="2" s="1"/>
  <c r="O630" i="2"/>
  <c r="O631" i="2"/>
  <c r="O632" i="2"/>
  <c r="O633" i="2"/>
  <c r="O634" i="2"/>
  <c r="P635" i="2"/>
  <c r="O636" i="2"/>
  <c r="P637" i="2"/>
  <c r="O638" i="2"/>
  <c r="O639" i="2"/>
  <c r="P640" i="2"/>
  <c r="O641" i="2"/>
  <c r="O642" i="2"/>
  <c r="P643" i="2"/>
  <c r="P644" i="2"/>
  <c r="O645" i="2"/>
  <c r="P645" i="2" s="1"/>
  <c r="O646" i="2"/>
  <c r="P646" i="2" s="1"/>
  <c r="O647" i="2"/>
  <c r="P647" i="2" s="1"/>
  <c r="P648" i="2"/>
  <c r="O652" i="2"/>
  <c r="P653" i="2"/>
  <c r="P654" i="2"/>
  <c r="O655" i="2"/>
  <c r="P655" i="2" s="1"/>
  <c r="O656" i="2"/>
  <c r="P656" i="2" s="1"/>
  <c r="O657" i="2"/>
  <c r="P657" i="2" s="1"/>
  <c r="O658" i="2"/>
  <c r="P659" i="2"/>
  <c r="P663" i="2"/>
  <c r="O664" i="2"/>
  <c r="O665" i="2"/>
  <c r="P666" i="2"/>
  <c r="P667" i="2"/>
  <c r="O668" i="2"/>
  <c r="P668" i="2" s="1"/>
  <c r="O669" i="2"/>
  <c r="P669" i="2" s="1"/>
  <c r="P670" i="2"/>
  <c r="P671" i="2"/>
  <c r="P675" i="2"/>
  <c r="O676" i="2"/>
  <c r="O677" i="2"/>
  <c r="O678" i="2"/>
  <c r="O679" i="2"/>
  <c r="P680" i="2"/>
  <c r="O681" i="2"/>
  <c r="P682" i="2"/>
  <c r="P683" i="2"/>
  <c r="O684" i="2"/>
  <c r="P685" i="2"/>
  <c r="O686" i="2"/>
  <c r="P686" i="2" s="1"/>
  <c r="O687" i="2"/>
  <c r="P687" i="2" s="1"/>
  <c r="O688" i="2"/>
  <c r="P688" i="2" s="1"/>
  <c r="O689" i="2"/>
  <c r="P689" i="2" s="1"/>
  <c r="O690" i="2"/>
  <c r="P690" i="2" s="1"/>
  <c r="O691" i="2"/>
  <c r="P691" i="2" s="1"/>
  <c r="O692" i="2"/>
  <c r="P692" i="2" s="1"/>
  <c r="P693" i="2"/>
  <c r="O694" i="2"/>
  <c r="P695" i="2"/>
  <c r="O696" i="2"/>
  <c r="P696" i="2" s="1"/>
  <c r="O697" i="2"/>
  <c r="O698" i="2"/>
  <c r="P698" i="2" s="1"/>
  <c r="O699" i="2"/>
  <c r="P699" i="2" s="1"/>
  <c r="O700" i="2"/>
  <c r="P700" i="2" s="1"/>
  <c r="P701" i="2"/>
  <c r="O702" i="2"/>
  <c r="O703" i="2"/>
  <c r="P704" i="2"/>
  <c r="O705" i="2"/>
  <c r="P705" i="2" s="1"/>
  <c r="O706" i="2"/>
  <c r="P706" i="2" s="1"/>
  <c r="P707" i="2"/>
  <c r="O708" i="2"/>
  <c r="P709" i="2"/>
  <c r="O710" i="2"/>
  <c r="O711" i="2"/>
  <c r="O712" i="2"/>
  <c r="O713" i="2"/>
  <c r="O714" i="2"/>
  <c r="O715" i="2"/>
  <c r="P716" i="2"/>
  <c r="O717" i="2"/>
  <c r="O718" i="2"/>
  <c r="P719" i="2"/>
  <c r="O720" i="2"/>
  <c r="P721" i="2"/>
  <c r="P722" i="2"/>
  <c r="O723" i="2"/>
  <c r="P724" i="2"/>
  <c r="O725" i="2"/>
  <c r="P726" i="2"/>
  <c r="P727" i="2"/>
  <c r="P728" i="2"/>
  <c r="O729" i="2"/>
  <c r="P729" i="2" s="1"/>
  <c r="O730" i="2"/>
  <c r="P730" i="2" s="1"/>
  <c r="O731" i="2"/>
  <c r="P731" i="2" s="1"/>
  <c r="O732" i="2"/>
  <c r="P732" i="2" s="1"/>
  <c r="P733" i="2"/>
  <c r="P734" i="2"/>
  <c r="O737" i="2"/>
  <c r="P738" i="2"/>
  <c r="O739" i="2"/>
  <c r="P740" i="2"/>
  <c r="O741" i="2"/>
  <c r="P742" i="2"/>
  <c r="P743" i="2"/>
  <c r="O744" i="2"/>
  <c r="O745" i="2"/>
  <c r="O746" i="2"/>
  <c r="P747" i="2"/>
  <c r="P748" i="2"/>
  <c r="P749" i="2"/>
  <c r="O750" i="2"/>
  <c r="P750" i="2" s="1"/>
  <c r="O751" i="2"/>
  <c r="P751" i="2" s="1"/>
  <c r="O752" i="2"/>
  <c r="P752" i="2" s="1"/>
  <c r="P753" i="2"/>
  <c r="P757" i="2"/>
  <c r="O758" i="2"/>
  <c r="O759" i="2"/>
  <c r="P760" i="2"/>
  <c r="P761" i="2"/>
  <c r="O762" i="2"/>
  <c r="P762" i="2" s="1"/>
  <c r="O763" i="2"/>
  <c r="P763" i="2" s="1"/>
  <c r="P764" i="2"/>
  <c r="P765" i="2"/>
  <c r="O789" i="2"/>
  <c r="O790" i="2"/>
  <c r="O791" i="2"/>
  <c r="P792" i="2"/>
  <c r="O793" i="2"/>
  <c r="O794" i="2"/>
  <c r="P795" i="2"/>
  <c r="P796" i="2"/>
  <c r="P797" i="2"/>
  <c r="O798" i="2"/>
  <c r="P798" i="2" s="1"/>
  <c r="O799" i="2"/>
  <c r="P799" i="2" s="1"/>
  <c r="O800" i="2"/>
  <c r="P800" i="2" s="1"/>
  <c r="P801" i="2"/>
  <c r="O802" i="2"/>
  <c r="P802" i="2" s="1"/>
  <c r="O803" i="2"/>
  <c r="O804" i="2"/>
  <c r="P805" i="2"/>
  <c r="O806" i="2"/>
  <c r="O807" i="2"/>
  <c r="O808" i="2"/>
  <c r="O809" i="2"/>
  <c r="O810" i="2"/>
  <c r="O811" i="2"/>
  <c r="O812" i="2"/>
  <c r="O813" i="2"/>
  <c r="P813" i="2" s="1"/>
  <c r="P814" i="2"/>
  <c r="P815" i="2"/>
  <c r="O816" i="2"/>
  <c r="O817" i="2"/>
  <c r="O818" i="2"/>
  <c r="P819" i="2"/>
  <c r="O820" i="2"/>
  <c r="O821" i="2"/>
  <c r="P822" i="2"/>
  <c r="O823" i="2"/>
  <c r="P824" i="2"/>
  <c r="P825" i="2"/>
  <c r="O826" i="2"/>
  <c r="P827" i="2"/>
  <c r="P828" i="2"/>
  <c r="O829" i="2"/>
  <c r="O830" i="2"/>
  <c r="P831" i="2"/>
  <c r="O832" i="2"/>
  <c r="P833" i="2"/>
  <c r="P834" i="2"/>
  <c r="O835" i="2"/>
  <c r="P835" i="2" s="1"/>
  <c r="O836" i="2"/>
  <c r="P836" i="2" s="1"/>
  <c r="P837" i="2"/>
  <c r="P838" i="2"/>
  <c r="P840" i="2"/>
  <c r="O841" i="2"/>
  <c r="O842" i="2"/>
  <c r="O843" i="2"/>
  <c r="O844" i="2"/>
  <c r="O845" i="2"/>
  <c r="P846" i="2"/>
  <c r="O847" i="2"/>
  <c r="P848" i="2"/>
  <c r="P849" i="2"/>
  <c r="O850" i="2"/>
  <c r="O851" i="2"/>
  <c r="P852" i="2"/>
  <c r="P853" i="2"/>
  <c r="P854" i="2"/>
  <c r="O855" i="2"/>
  <c r="P855" i="2" s="1"/>
  <c r="O856" i="2"/>
  <c r="P856" i="2" s="1"/>
  <c r="P857" i="2"/>
  <c r="P858" i="2"/>
  <c r="O862" i="2"/>
  <c r="P862" i="2" s="1"/>
  <c r="O863" i="2"/>
  <c r="P863" i="2" s="1"/>
  <c r="O864" i="2"/>
  <c r="P864" i="2" s="1"/>
  <c r="O865" i="2"/>
  <c r="P865" i="2" s="1"/>
  <c r="O866" i="2"/>
  <c r="P866" i="2" s="1"/>
  <c r="O867" i="2"/>
  <c r="P867" i="2" s="1"/>
  <c r="O868" i="2"/>
  <c r="P868" i="2" s="1"/>
  <c r="O869" i="2"/>
  <c r="P869" i="2" s="1"/>
  <c r="O870" i="2"/>
  <c r="P870" i="2" s="1"/>
  <c r="O871" i="2"/>
  <c r="P871" i="2" s="1"/>
  <c r="O872" i="2"/>
  <c r="P872" i="2" s="1"/>
  <c r="O873" i="2"/>
  <c r="P873" i="2" s="1"/>
  <c r="O874" i="2"/>
  <c r="P874" i="2" s="1"/>
  <c r="O875" i="2"/>
  <c r="P875" i="2" s="1"/>
  <c r="O876" i="2"/>
  <c r="P876" i="2" s="1"/>
  <c r="P877" i="2"/>
  <c r="O878" i="2"/>
  <c r="P879" i="2"/>
  <c r="P880" i="2"/>
  <c r="O881" i="2"/>
  <c r="O882" i="2"/>
  <c r="O883" i="2"/>
  <c r="P884" i="2"/>
  <c r="O885" i="2"/>
  <c r="O886" i="2"/>
  <c r="O887" i="2"/>
  <c r="O888" i="2"/>
  <c r="P889" i="2"/>
  <c r="P890" i="2"/>
  <c r="O891" i="2"/>
  <c r="P892" i="2"/>
  <c r="P893" i="2"/>
  <c r="O894" i="2"/>
  <c r="O895" i="2"/>
  <c r="O896" i="2"/>
  <c r="O897" i="2"/>
  <c r="P898" i="2"/>
  <c r="P899" i="2"/>
  <c r="O900" i="2"/>
  <c r="P900" i="2" s="1"/>
  <c r="O901" i="2"/>
  <c r="P901" i="2" s="1"/>
  <c r="P902" i="2"/>
  <c r="P903" i="2"/>
  <c r="P907" i="2"/>
  <c r="P908" i="2"/>
  <c r="P909" i="2"/>
  <c r="O910" i="2"/>
  <c r="P910" i="2" s="1"/>
  <c r="O911" i="2"/>
  <c r="P911" i="2" s="1"/>
  <c r="O912" i="2"/>
  <c r="P912" i="2" s="1"/>
  <c r="P913" i="2"/>
  <c r="O16" i="2"/>
  <c r="P16" i="2" l="1"/>
  <c r="P897" i="2"/>
  <c r="P896" i="2"/>
  <c r="P895" i="2"/>
  <c r="P894" i="2"/>
  <c r="P891" i="2"/>
  <c r="P888" i="2"/>
  <c r="P887" i="2"/>
  <c r="P886" i="2"/>
  <c r="P885" i="2"/>
  <c r="P883" i="2"/>
  <c r="P882" i="2"/>
  <c r="P881" i="2"/>
  <c r="P878" i="2"/>
  <c r="P851" i="2"/>
  <c r="P850" i="2"/>
  <c r="P847" i="2"/>
  <c r="P845" i="2"/>
  <c r="P844" i="2"/>
  <c r="P843" i="2"/>
  <c r="P842" i="2"/>
  <c r="P841" i="2"/>
  <c r="P832" i="2"/>
  <c r="P830" i="2"/>
  <c r="P829" i="2"/>
  <c r="P826" i="2"/>
  <c r="P823" i="2"/>
  <c r="P821" i="2"/>
  <c r="P820" i="2"/>
  <c r="P818" i="2"/>
  <c r="P817" i="2"/>
  <c r="P816" i="2"/>
  <c r="P812" i="2"/>
  <c r="P811" i="2"/>
  <c r="P810" i="2"/>
  <c r="P809" i="2"/>
  <c r="P808" i="2"/>
  <c r="P807" i="2"/>
  <c r="P806" i="2"/>
  <c r="P804" i="2"/>
  <c r="P803" i="2"/>
  <c r="P794" i="2"/>
  <c r="P793" i="2"/>
  <c r="P791" i="2"/>
  <c r="P790" i="2"/>
  <c r="P789" i="2"/>
  <c r="P759" i="2"/>
  <c r="P758" i="2"/>
  <c r="P746" i="2"/>
  <c r="P745" i="2"/>
  <c r="P744" i="2"/>
  <c r="P741" i="2"/>
  <c r="P739" i="2"/>
  <c r="P737" i="2"/>
  <c r="P725" i="2"/>
  <c r="P723" i="2"/>
  <c r="P720" i="2"/>
  <c r="P718" i="2"/>
  <c r="P717" i="2"/>
  <c r="P715" i="2"/>
  <c r="P714" i="2"/>
  <c r="P713" i="2"/>
  <c r="P712" i="2"/>
  <c r="P711" i="2"/>
  <c r="P710" i="2"/>
  <c r="P708" i="2"/>
  <c r="P703" i="2"/>
  <c r="P702" i="2"/>
  <c r="P697" i="2"/>
  <c r="P694" i="2"/>
  <c r="P684" i="2"/>
  <c r="P681" i="2"/>
  <c r="P679" i="2"/>
  <c r="P678" i="2"/>
  <c r="P677" i="2"/>
  <c r="P676" i="2"/>
  <c r="P665" i="2"/>
  <c r="P664" i="2"/>
  <c r="P658" i="2"/>
  <c r="P652" i="2"/>
  <c r="P642" i="2"/>
  <c r="P641" i="2"/>
  <c r="P639" i="2"/>
  <c r="P638" i="2"/>
  <c r="P636" i="2"/>
  <c r="P634" i="2"/>
  <c r="P633" i="2"/>
  <c r="P632" i="2"/>
  <c r="P631" i="2"/>
  <c r="P630" i="2"/>
  <c r="P618" i="2"/>
  <c r="P617" i="2"/>
  <c r="P616" i="2"/>
  <c r="P615" i="2"/>
  <c r="P612" i="2"/>
  <c r="P610" i="2"/>
  <c r="P609" i="2"/>
  <c r="P608" i="2"/>
  <c r="P607" i="2"/>
  <c r="P606" i="2"/>
  <c r="P603" i="2"/>
  <c r="P602" i="2"/>
  <c r="P600" i="2"/>
  <c r="P599" i="2"/>
  <c r="P598" i="2"/>
  <c r="P597" i="2"/>
  <c r="P596" i="2"/>
  <c r="P595" i="2"/>
  <c r="P594" i="2"/>
  <c r="P593" i="2"/>
  <c r="P592" i="2"/>
  <c r="P591" i="2"/>
  <c r="P590" i="2"/>
  <c r="P570" i="2"/>
  <c r="P569" i="2"/>
  <c r="P568" i="2"/>
  <c r="P564" i="2"/>
  <c r="P554" i="2"/>
  <c r="P553" i="2"/>
  <c r="P552" i="2"/>
  <c r="P551" i="2"/>
  <c r="P550" i="2"/>
  <c r="P549" i="2"/>
  <c r="P548" i="2"/>
  <c r="P546" i="2"/>
  <c r="P545" i="2"/>
  <c r="P544" i="2"/>
  <c r="P543" i="2"/>
  <c r="P542" i="2"/>
  <c r="P541" i="2"/>
  <c r="P540" i="2"/>
  <c r="P539" i="2"/>
  <c r="P538" i="2"/>
  <c r="P537" i="2"/>
  <c r="P536" i="2"/>
  <c r="P479" i="2"/>
  <c r="P474" i="2"/>
  <c r="P473" i="2"/>
  <c r="P468" i="2"/>
  <c r="P465" i="2"/>
  <c r="P412" i="2"/>
  <c r="P409" i="2"/>
  <c r="P391" i="2"/>
  <c r="P390" i="2"/>
  <c r="P388" i="2"/>
  <c r="P387" i="2"/>
  <c r="P373" i="2"/>
  <c r="P372" i="2"/>
  <c r="P366" i="2"/>
  <c r="P361" i="2"/>
  <c r="P360" i="2"/>
  <c r="P359" i="2"/>
  <c r="P358" i="2"/>
  <c r="P356" i="2"/>
  <c r="P355" i="2"/>
  <c r="P354" i="2"/>
  <c r="P351" i="2"/>
  <c r="P350" i="2"/>
  <c r="P349" i="2"/>
  <c r="P346" i="2"/>
  <c r="P345" i="2"/>
  <c r="P344" i="2"/>
  <c r="P342" i="2"/>
  <c r="P337" i="2"/>
  <c r="P336" i="2"/>
  <c r="P334" i="2"/>
  <c r="P332" i="2"/>
  <c r="P329" i="2"/>
  <c r="P327" i="2"/>
  <c r="P326" i="2"/>
  <c r="P325" i="2"/>
  <c r="P324" i="2"/>
  <c r="P311" i="2"/>
  <c r="P310" i="2"/>
  <c r="P306" i="2"/>
  <c r="P305" i="2"/>
  <c r="P304" i="2"/>
  <c r="P302" i="2"/>
  <c r="P292" i="2"/>
  <c r="P288" i="2"/>
  <c r="P283" i="2"/>
  <c r="P281" i="2"/>
  <c r="P279" i="2"/>
  <c r="P278" i="2"/>
  <c r="P277" i="2"/>
  <c r="P276" i="2"/>
  <c r="P275" i="2"/>
  <c r="P274" i="2"/>
  <c r="P273" i="2"/>
  <c r="P271" i="2"/>
  <c r="P269" i="2"/>
  <c r="P268" i="2"/>
  <c r="P265" i="2"/>
  <c r="P262" i="2"/>
  <c r="P261" i="2"/>
  <c r="P260" i="2"/>
  <c r="P259" i="2"/>
  <c r="P256" i="2"/>
  <c r="P253" i="2"/>
  <c r="P252" i="2"/>
  <c r="P251" i="2"/>
  <c r="P250" i="2"/>
  <c r="P249" i="2"/>
  <c r="P248" i="2"/>
  <c r="P247" i="2"/>
  <c r="P246" i="2"/>
  <c r="P244" i="2"/>
  <c r="P243" i="2"/>
  <c r="P242" i="2"/>
  <c r="P241" i="2"/>
  <c r="P240" i="2"/>
  <c r="P239" i="2"/>
  <c r="P238" i="2"/>
  <c r="P237" i="2"/>
  <c r="P236" i="2"/>
  <c r="P235" i="2"/>
  <c r="P234" i="2"/>
  <c r="P233" i="2"/>
  <c r="P230" i="2"/>
  <c r="P201" i="2"/>
  <c r="P199" i="2"/>
  <c r="P198" i="2"/>
  <c r="P197" i="2"/>
  <c r="P196" i="2"/>
  <c r="P195" i="2"/>
  <c r="P182" i="2"/>
  <c r="P177" i="2"/>
  <c r="P176" i="2"/>
  <c r="P174" i="2"/>
  <c r="P172" i="2"/>
  <c r="P170" i="2"/>
  <c r="P169" i="2"/>
  <c r="P168" i="2"/>
  <c r="P167" i="2"/>
  <c r="P165" i="2"/>
  <c r="P164" i="2"/>
  <c r="P163" i="2"/>
  <c r="P162" i="2"/>
  <c r="P160" i="2"/>
  <c r="P159" i="2"/>
  <c r="P158" i="2"/>
  <c r="P156" i="2"/>
  <c r="P155" i="2"/>
  <c r="P154" i="2"/>
  <c r="P153" i="2"/>
  <c r="P152" i="2"/>
  <c r="P151" i="2"/>
  <c r="P150" i="2"/>
  <c r="P147" i="2"/>
  <c r="P145" i="2"/>
  <c r="P123" i="2"/>
  <c r="P119" i="2"/>
  <c r="P108" i="2"/>
  <c r="P107" i="2"/>
  <c r="P106" i="2"/>
  <c r="P105" i="2"/>
  <c r="P104" i="2"/>
  <c r="P102" i="2"/>
  <c r="P99" i="2"/>
  <c r="P98" i="2"/>
  <c r="P97" i="2"/>
  <c r="P96" i="2"/>
  <c r="P95" i="2"/>
  <c r="P94" i="2"/>
  <c r="P93" i="2"/>
  <c r="P92" i="2"/>
  <c r="P91" i="2"/>
  <c r="P90" i="2"/>
  <c r="P89" i="2"/>
  <c r="P87" i="2"/>
  <c r="P86" i="2"/>
  <c r="P77" i="2"/>
  <c r="P76" i="2"/>
  <c r="P46" i="2"/>
  <c r="P45" i="2"/>
  <c r="P42" i="2"/>
  <c r="P41" i="2"/>
  <c r="P40" i="2"/>
  <c r="P39" i="2"/>
  <c r="P38" i="2"/>
  <c r="P37" i="2"/>
  <c r="P36" i="2"/>
  <c r="P33" i="2"/>
  <c r="P32" i="2"/>
  <c r="P27" i="2"/>
  <c r="P26" i="2"/>
  <c r="P25" i="2"/>
  <c r="P24" i="2"/>
  <c r="P23" i="2"/>
  <c r="P22" i="2"/>
  <c r="P21" i="2"/>
  <c r="P19" i="2"/>
  <c r="P18" i="2"/>
  <c r="P450" i="2"/>
  <c r="O916" i="2"/>
  <c r="P445" i="2"/>
  <c r="P444" i="2"/>
  <c r="P440" i="2"/>
  <c r="P436" i="2"/>
  <c r="P432" i="2"/>
  <c r="P441" i="2"/>
  <c r="P437" i="2"/>
  <c r="P433" i="2"/>
  <c r="P443" i="2"/>
  <c r="P439" i="2"/>
  <c r="P438" i="2"/>
  <c r="P434" i="2"/>
  <c r="P916" i="2" l="1"/>
  <c r="Q29" i="2"/>
  <c r="Q30" i="2"/>
  <c r="Q48" i="2"/>
  <c r="Q49" i="2"/>
  <c r="Q50" i="2"/>
  <c r="Q51" i="2"/>
  <c r="Q52" i="2"/>
  <c r="Q53" i="2"/>
  <c r="Q54" i="2"/>
  <c r="Q55" i="2"/>
  <c r="Q56" i="2"/>
  <c r="Q57" i="2"/>
  <c r="Q58" i="2"/>
  <c r="Q59" i="2"/>
  <c r="Q60" i="2"/>
  <c r="Q61" i="2"/>
  <c r="Q62" i="2"/>
  <c r="Q63" i="2"/>
  <c r="Q64" i="2"/>
  <c r="Q65" i="2"/>
  <c r="Q66" i="2"/>
  <c r="Q67" i="2"/>
  <c r="Q68" i="2"/>
  <c r="Q69" i="2"/>
  <c r="Q70" i="2"/>
  <c r="Q71" i="2"/>
  <c r="Q78" i="2"/>
  <c r="Q79" i="2"/>
  <c r="Q80" i="2"/>
  <c r="Q81" i="2"/>
  <c r="Q82" i="2"/>
  <c r="Q83" i="2"/>
  <c r="Q84" i="2"/>
  <c r="Q110" i="2"/>
  <c r="Q111" i="2"/>
  <c r="Q112" i="2"/>
  <c r="Q113" i="2"/>
  <c r="Q114" i="2"/>
  <c r="Q115" i="2"/>
  <c r="Q116" i="2"/>
  <c r="Q117" i="2"/>
  <c r="Q186" i="2"/>
  <c r="Q187" i="2"/>
  <c r="Q188" i="2"/>
  <c r="Q189" i="2"/>
  <c r="Q190" i="2"/>
  <c r="Q191" i="2"/>
  <c r="Q192" i="2"/>
  <c r="Q202" i="2"/>
  <c r="Q203" i="2"/>
  <c r="Q204" i="2"/>
  <c r="Q205" i="2"/>
  <c r="Q206" i="2"/>
  <c r="Q207" i="2"/>
  <c r="Q208" i="2"/>
  <c r="Q209" i="2"/>
  <c r="Q210" i="2"/>
  <c r="Q211" i="2"/>
  <c r="Q212" i="2"/>
  <c r="Q213" i="2"/>
  <c r="Q214" i="2"/>
  <c r="Q215" i="2"/>
  <c r="Q216" i="2"/>
  <c r="Q232" i="2"/>
  <c r="Q267" i="2"/>
  <c r="Q290" i="2"/>
  <c r="Q291" i="2"/>
  <c r="Q293" i="2"/>
  <c r="Q294" i="2"/>
  <c r="Q295" i="2"/>
  <c r="Q299" i="2"/>
  <c r="Q300" i="2"/>
  <c r="Q338" i="2"/>
  <c r="Q339" i="2"/>
  <c r="Q340" i="2"/>
  <c r="Q348" i="2"/>
  <c r="Q365" i="2"/>
  <c r="Q382" i="2"/>
  <c r="Q383" i="2"/>
  <c r="Q384" i="2"/>
  <c r="Q385" i="2"/>
  <c r="Q398" i="2"/>
  <c r="Q399" i="2"/>
  <c r="Q400" i="2"/>
  <c r="Q401" i="2"/>
  <c r="Q402" i="2"/>
  <c r="Q423" i="2"/>
  <c r="Q424" i="2"/>
  <c r="Q425" i="2"/>
  <c r="Q426" i="2"/>
  <c r="Q427" i="2"/>
  <c r="Q428" i="2"/>
  <c r="Q429" i="2"/>
  <c r="Q430" i="2"/>
  <c r="Q447" i="2"/>
  <c r="Q448" i="2"/>
  <c r="Q449" i="2"/>
  <c r="Q450" i="2"/>
  <c r="Q467" i="2"/>
  <c r="Q469" i="2"/>
  <c r="Q470" i="2"/>
  <c r="Q471" i="2"/>
  <c r="Q476" i="2"/>
  <c r="Q477" i="2"/>
  <c r="Q480" i="2"/>
  <c r="Q481" i="2"/>
  <c r="Q482" i="2"/>
  <c r="Q483" i="2"/>
  <c r="Q484" i="2"/>
  <c r="Q485" i="2"/>
  <c r="Q486" i="2"/>
  <c r="Q487" i="2"/>
  <c r="Q488" i="2"/>
  <c r="Q489" i="2"/>
  <c r="Q490" i="2"/>
  <c r="Q491" i="2"/>
  <c r="Q492" i="2"/>
  <c r="Q493" i="2"/>
  <c r="Q494" i="2"/>
  <c r="Q495" i="2"/>
  <c r="Q496" i="2"/>
  <c r="Q497" i="2"/>
  <c r="Q498" i="2"/>
  <c r="Q499" i="2"/>
  <c r="Q500" i="2"/>
  <c r="Q501" i="2"/>
  <c r="Q502" i="2"/>
  <c r="Q504" i="2"/>
  <c r="Q505" i="2"/>
  <c r="Q506" i="2"/>
  <c r="Q507" i="2"/>
  <c r="Q508" i="2"/>
  <c r="Q512" i="2"/>
  <c r="Q513" i="2"/>
  <c r="Q519" i="2"/>
  <c r="Q520" i="2"/>
  <c r="Q521" i="2"/>
  <c r="Q522" i="2"/>
  <c r="Q523" i="2"/>
  <c r="Q524" i="2"/>
  <c r="Q525" i="2"/>
  <c r="Q526" i="2"/>
  <c r="Q527" i="2"/>
  <c r="Q528" i="2"/>
  <c r="Q529" i="2"/>
  <c r="Q530" i="2"/>
  <c r="Q531" i="2"/>
  <c r="Q532" i="2"/>
  <c r="Q533" i="2"/>
  <c r="Q534" i="2"/>
  <c r="Q557" i="2"/>
  <c r="Q558" i="2"/>
  <c r="Q573" i="2"/>
  <c r="Q574" i="2"/>
  <c r="Q580" i="2"/>
  <c r="Q582" i="2"/>
  <c r="Q583" i="2"/>
  <c r="Q584" i="2"/>
  <c r="Q585" i="2"/>
  <c r="Q586" i="2"/>
  <c r="Q587" i="2"/>
  <c r="Q588" i="2"/>
  <c r="Q621" i="2"/>
  <c r="Q622" i="2"/>
  <c r="Q623" i="2"/>
  <c r="Q628" i="2"/>
  <c r="Q629" i="2"/>
  <c r="Q645" i="2"/>
  <c r="Q646" i="2"/>
  <c r="Q647" i="2"/>
  <c r="Q655" i="2"/>
  <c r="Q656" i="2"/>
  <c r="Q657" i="2"/>
  <c r="Q668" i="2"/>
  <c r="Q669" i="2"/>
  <c r="Q686" i="2"/>
  <c r="Q687" i="2"/>
  <c r="Q688" i="2"/>
  <c r="Q689" i="2"/>
  <c r="Q690" i="2"/>
  <c r="Q691" i="2"/>
  <c r="Q692" i="2"/>
  <c r="Q696" i="2"/>
  <c r="Q698" i="2"/>
  <c r="Q699" i="2"/>
  <c r="Q700" i="2"/>
  <c r="Q705" i="2"/>
  <c r="Q706" i="2"/>
  <c r="Q729" i="2"/>
  <c r="Q730" i="2"/>
  <c r="Q731" i="2"/>
  <c r="Q732" i="2"/>
  <c r="Q750" i="2"/>
  <c r="Q751" i="2"/>
  <c r="Q752" i="2"/>
  <c r="Q762" i="2"/>
  <c r="Q763" i="2"/>
  <c r="Q798" i="2"/>
  <c r="Q799" i="2"/>
  <c r="Q800" i="2"/>
  <c r="Q802" i="2"/>
  <c r="Q813" i="2"/>
  <c r="Q835" i="2"/>
  <c r="Q836" i="2"/>
  <c r="Q855" i="2"/>
  <c r="Q856" i="2"/>
  <c r="Q862" i="2"/>
  <c r="Q863" i="2"/>
  <c r="Q864" i="2"/>
  <c r="Q865" i="2"/>
  <c r="Q866" i="2"/>
  <c r="Q867" i="2"/>
  <c r="Q868" i="2"/>
  <c r="Q869" i="2"/>
  <c r="Q870" i="2"/>
  <c r="Q871" i="2"/>
  <c r="Q872" i="2"/>
  <c r="Q873" i="2"/>
  <c r="Q874" i="2"/>
  <c r="Q875" i="2"/>
  <c r="Q876" i="2"/>
  <c r="Q900" i="2"/>
  <c r="Q901" i="2"/>
  <c r="Q910" i="2"/>
  <c r="Q911" i="2"/>
  <c r="Q912" i="2"/>
  <c r="Q20" i="2"/>
  <c r="B1050" i="1"/>
  <c r="C1050" i="1"/>
  <c r="D1050" i="1"/>
  <c r="E1050" i="1"/>
  <c r="F1050" i="1"/>
  <c r="G1050" i="1"/>
  <c r="H1050" i="1"/>
  <c r="I1050" i="1"/>
  <c r="B888" i="1"/>
  <c r="C888" i="1"/>
  <c r="D888" i="1"/>
  <c r="E888" i="1"/>
  <c r="F888" i="1"/>
  <c r="G888" i="1"/>
  <c r="H888" i="1"/>
  <c r="I888" i="1"/>
  <c r="B903" i="1"/>
  <c r="C903" i="1"/>
  <c r="D903" i="1"/>
  <c r="E903" i="1"/>
  <c r="F903" i="1"/>
  <c r="G903" i="1"/>
  <c r="H903" i="1"/>
  <c r="I903" i="1"/>
  <c r="B33" i="1"/>
  <c r="C33" i="1"/>
  <c r="D33" i="1"/>
  <c r="E33" i="1"/>
  <c r="F33" i="1"/>
  <c r="G33" i="1"/>
  <c r="H33" i="1"/>
  <c r="I33" i="1"/>
  <c r="B54" i="1"/>
  <c r="C54" i="1"/>
  <c r="D54" i="1"/>
  <c r="E54" i="1"/>
  <c r="F54" i="1"/>
  <c r="G54" i="1"/>
  <c r="H54" i="1"/>
  <c r="I54" i="1"/>
  <c r="Q916" i="2" l="1"/>
  <c r="D1231" i="1"/>
  <c r="E1231" i="1"/>
  <c r="F1231" i="1"/>
  <c r="G1231" i="1"/>
  <c r="H1231" i="1"/>
  <c r="I1231" i="1"/>
  <c r="C1231" i="1"/>
  <c r="B1231" i="1"/>
  <c r="D1217" i="1"/>
  <c r="E1217" i="1"/>
  <c r="F1217" i="1"/>
  <c r="G1217" i="1"/>
  <c r="H1217" i="1"/>
  <c r="I1217" i="1"/>
  <c r="C1217" i="1"/>
  <c r="B1217" i="1"/>
  <c r="D1157" i="1"/>
  <c r="E1157" i="1"/>
  <c r="F1157" i="1"/>
  <c r="G1157" i="1"/>
  <c r="H1157" i="1"/>
  <c r="I1157" i="1"/>
  <c r="C1157" i="1"/>
  <c r="B1157" i="1"/>
  <c r="D1130" i="1"/>
  <c r="E1130" i="1"/>
  <c r="F1130" i="1"/>
  <c r="G1130" i="1"/>
  <c r="H1130" i="1"/>
  <c r="I1130" i="1"/>
  <c r="C1130" i="1"/>
  <c r="B1130" i="1"/>
  <c r="D1078" i="1"/>
  <c r="E1078" i="1"/>
  <c r="F1078" i="1"/>
  <c r="G1078" i="1"/>
  <c r="H1078" i="1"/>
  <c r="I1078" i="1"/>
  <c r="C1078" i="1"/>
  <c r="B1078" i="1"/>
  <c r="D1034" i="1"/>
  <c r="E1034" i="1"/>
  <c r="F1034" i="1"/>
  <c r="G1034" i="1"/>
  <c r="H1034" i="1"/>
  <c r="I1034" i="1"/>
  <c r="C1034" i="1"/>
  <c r="B1034" i="1"/>
  <c r="D1003" i="1"/>
  <c r="E1003" i="1"/>
  <c r="F1003" i="1"/>
  <c r="G1003" i="1"/>
  <c r="H1003" i="1"/>
  <c r="I1003" i="1"/>
  <c r="C1003" i="1"/>
  <c r="B1003" i="1"/>
  <c r="D945" i="1"/>
  <c r="E945" i="1"/>
  <c r="F945" i="1"/>
  <c r="G945" i="1"/>
  <c r="H945" i="1"/>
  <c r="I945" i="1"/>
  <c r="C945" i="1"/>
  <c r="B945" i="1"/>
  <c r="D919" i="1"/>
  <c r="E919" i="1"/>
  <c r="F919" i="1"/>
  <c r="G919" i="1"/>
  <c r="H919" i="1"/>
  <c r="I919" i="1"/>
  <c r="C919" i="1"/>
  <c r="B919" i="1"/>
  <c r="D859" i="1"/>
  <c r="E859" i="1"/>
  <c r="F859" i="1"/>
  <c r="G859" i="1"/>
  <c r="H859" i="1"/>
  <c r="I859" i="1"/>
  <c r="C859" i="1"/>
  <c r="B859" i="1"/>
  <c r="D812" i="1"/>
  <c r="E812" i="1"/>
  <c r="F812" i="1"/>
  <c r="G812" i="1"/>
  <c r="H812" i="1"/>
  <c r="I812" i="1"/>
  <c r="C812" i="1"/>
  <c r="B812" i="1"/>
  <c r="D796" i="1"/>
  <c r="E796" i="1"/>
  <c r="F796" i="1"/>
  <c r="G796" i="1"/>
  <c r="H796" i="1"/>
  <c r="I796" i="1"/>
  <c r="C796" i="1"/>
  <c r="B796" i="1"/>
  <c r="D774" i="1"/>
  <c r="E774" i="1"/>
  <c r="F774" i="1"/>
  <c r="G774" i="1"/>
  <c r="H774" i="1"/>
  <c r="I774" i="1"/>
  <c r="C774" i="1"/>
  <c r="B774" i="1"/>
  <c r="D711" i="1"/>
  <c r="E711" i="1"/>
  <c r="F711" i="1"/>
  <c r="G711" i="1"/>
  <c r="H711" i="1"/>
  <c r="I711" i="1"/>
  <c r="C711" i="1"/>
  <c r="B711" i="1"/>
  <c r="D696" i="1"/>
  <c r="E696" i="1"/>
  <c r="F696" i="1"/>
  <c r="G696" i="1"/>
  <c r="H696" i="1"/>
  <c r="I696" i="1"/>
  <c r="C696" i="1"/>
  <c r="B696" i="1"/>
  <c r="D637" i="1"/>
  <c r="E637" i="1"/>
  <c r="F637" i="1"/>
  <c r="G637" i="1"/>
  <c r="H637" i="1"/>
  <c r="I637" i="1"/>
  <c r="C637" i="1"/>
  <c r="B637" i="1"/>
  <c r="D598" i="1"/>
  <c r="E598" i="1"/>
  <c r="F598" i="1"/>
  <c r="G598" i="1"/>
  <c r="H598" i="1"/>
  <c r="I598" i="1"/>
  <c r="C598" i="1"/>
  <c r="B598" i="1"/>
  <c r="D575" i="1"/>
  <c r="E575" i="1"/>
  <c r="F575" i="1"/>
  <c r="G575" i="1"/>
  <c r="H575" i="1"/>
  <c r="I575" i="1"/>
  <c r="C575" i="1"/>
  <c r="B575" i="1"/>
  <c r="D567" i="1"/>
  <c r="E567" i="1"/>
  <c r="F567" i="1"/>
  <c r="G567" i="1"/>
  <c r="H567" i="1"/>
  <c r="I567" i="1"/>
  <c r="C567" i="1"/>
  <c r="B567" i="1"/>
  <c r="D548" i="1"/>
  <c r="E548" i="1"/>
  <c r="F548" i="1"/>
  <c r="G548" i="1"/>
  <c r="H548" i="1"/>
  <c r="I548" i="1"/>
  <c r="C548" i="1"/>
  <c r="B548" i="1"/>
  <c r="D535" i="1"/>
  <c r="E535" i="1"/>
  <c r="F535" i="1"/>
  <c r="G535" i="1"/>
  <c r="H535" i="1"/>
  <c r="I535" i="1"/>
  <c r="C535" i="1"/>
  <c r="B535" i="1"/>
  <c r="D524" i="1"/>
  <c r="E524" i="1"/>
  <c r="F524" i="1"/>
  <c r="G524" i="1"/>
  <c r="H524" i="1"/>
  <c r="I524" i="1"/>
  <c r="C524" i="1"/>
  <c r="B524" i="1"/>
  <c r="D515" i="1"/>
  <c r="E515" i="1"/>
  <c r="F515" i="1"/>
  <c r="G515" i="1"/>
  <c r="H515" i="1"/>
  <c r="I515" i="1"/>
  <c r="C515" i="1"/>
  <c r="B515" i="1"/>
  <c r="D499" i="1"/>
  <c r="E499" i="1"/>
  <c r="F499" i="1"/>
  <c r="G499" i="1"/>
  <c r="H499" i="1"/>
  <c r="I499" i="1"/>
  <c r="C499" i="1"/>
  <c r="B499" i="1"/>
  <c r="D484" i="1"/>
  <c r="E484" i="1"/>
  <c r="F484" i="1"/>
  <c r="G484" i="1"/>
  <c r="H484" i="1"/>
  <c r="I484" i="1"/>
  <c r="C484" i="1"/>
  <c r="B484" i="1"/>
  <c r="D457" i="1"/>
  <c r="E457" i="1"/>
  <c r="F457" i="1"/>
  <c r="G457" i="1"/>
  <c r="H457" i="1"/>
  <c r="I457" i="1"/>
  <c r="C457" i="1"/>
  <c r="B457" i="1"/>
  <c r="D443" i="1"/>
  <c r="E443" i="1"/>
  <c r="F443" i="1"/>
  <c r="G443" i="1"/>
  <c r="H443" i="1"/>
  <c r="I443" i="1"/>
  <c r="C443" i="1"/>
  <c r="B443" i="1"/>
  <c r="D429" i="1"/>
  <c r="E429" i="1"/>
  <c r="F429" i="1"/>
  <c r="G429" i="1"/>
  <c r="H429" i="1"/>
  <c r="I429" i="1"/>
  <c r="C429" i="1"/>
  <c r="B429" i="1"/>
  <c r="D393" i="1"/>
  <c r="E393" i="1"/>
  <c r="F393" i="1"/>
  <c r="G393" i="1"/>
  <c r="H393" i="1"/>
  <c r="I393" i="1"/>
  <c r="C393" i="1"/>
  <c r="B393" i="1"/>
  <c r="D361" i="1"/>
  <c r="E361" i="1"/>
  <c r="F361" i="1"/>
  <c r="G361" i="1"/>
  <c r="H361" i="1"/>
  <c r="I361" i="1"/>
  <c r="C361" i="1"/>
  <c r="B361" i="1"/>
  <c r="D315" i="1"/>
  <c r="E315" i="1"/>
  <c r="F315" i="1"/>
  <c r="G315" i="1"/>
  <c r="H315" i="1"/>
  <c r="I315" i="1"/>
  <c r="C315" i="1"/>
  <c r="B315" i="1"/>
  <c r="D287" i="1"/>
  <c r="C287" i="1"/>
  <c r="E287" i="1"/>
  <c r="F287" i="1"/>
  <c r="G287" i="1"/>
  <c r="H287" i="1"/>
  <c r="I287" i="1"/>
  <c r="B287" i="1"/>
  <c r="D278" i="1"/>
  <c r="E278" i="1"/>
  <c r="F278" i="1"/>
  <c r="G278" i="1"/>
  <c r="H278" i="1"/>
  <c r="I278" i="1"/>
  <c r="C278" i="1"/>
  <c r="B278" i="1"/>
  <c r="D230" i="1"/>
  <c r="E230" i="1"/>
  <c r="F230" i="1"/>
  <c r="G230" i="1"/>
  <c r="H230" i="1"/>
  <c r="I230" i="1"/>
  <c r="C230" i="1"/>
  <c r="B230" i="1"/>
  <c r="F223" i="1"/>
  <c r="G223" i="1"/>
  <c r="H223" i="1"/>
  <c r="I223" i="1"/>
  <c r="D223" i="1"/>
  <c r="E223" i="1"/>
  <c r="C223" i="1"/>
  <c r="B223" i="1"/>
  <c r="D212" i="1"/>
  <c r="E212" i="1"/>
  <c r="F212" i="1"/>
  <c r="G212" i="1"/>
  <c r="H212" i="1"/>
  <c r="I212" i="1"/>
  <c r="C212" i="1"/>
  <c r="B212" i="1"/>
  <c r="D205" i="1"/>
  <c r="E205" i="1"/>
  <c r="F205" i="1"/>
  <c r="G205" i="1"/>
  <c r="H205" i="1"/>
  <c r="I205" i="1"/>
  <c r="C205" i="1"/>
  <c r="B205" i="1"/>
  <c r="E158" i="1"/>
  <c r="F158" i="1"/>
  <c r="G158" i="1"/>
  <c r="H158" i="1"/>
  <c r="I158" i="1"/>
  <c r="D158" i="1"/>
  <c r="C158" i="1"/>
  <c r="B158" i="1"/>
  <c r="D138" i="1"/>
  <c r="E138" i="1"/>
  <c r="F138" i="1"/>
  <c r="G138" i="1"/>
  <c r="H138" i="1"/>
  <c r="I138" i="1"/>
  <c r="C138" i="1"/>
  <c r="B138" i="1"/>
  <c r="D87" i="1"/>
  <c r="E87" i="1"/>
  <c r="F87" i="1"/>
  <c r="G87" i="1"/>
  <c r="H87" i="1"/>
  <c r="I87" i="1"/>
  <c r="C87" i="1"/>
  <c r="B87" i="1"/>
  <c r="D70" i="1"/>
  <c r="E70" i="1"/>
  <c r="F70" i="1"/>
  <c r="G70" i="1"/>
  <c r="H70" i="1"/>
  <c r="I70" i="1"/>
  <c r="C70" i="1"/>
  <c r="B70" i="1"/>
  <c r="D30" i="1"/>
  <c r="E30" i="1"/>
  <c r="F30" i="1"/>
  <c r="G30" i="1"/>
  <c r="H30" i="1"/>
  <c r="I30" i="1"/>
  <c r="C30" i="1"/>
  <c r="I1238" i="1" l="1"/>
  <c r="H1238" i="1"/>
  <c r="G1238" i="1"/>
  <c r="F1238" i="1"/>
  <c r="E1238" i="1"/>
  <c r="D1238" i="1"/>
  <c r="C1238" i="1"/>
  <c r="D1237" i="1"/>
  <c r="E1237" i="1"/>
  <c r="E1239" i="1" s="1"/>
  <c r="F1237" i="1"/>
  <c r="G1237" i="1"/>
  <c r="G1239" i="1" s="1"/>
  <c r="H1237" i="1"/>
  <c r="I1237" i="1"/>
  <c r="I1239" i="1" s="1"/>
  <c r="C1237" i="1"/>
  <c r="H1239" i="1" l="1"/>
  <c r="D1239" i="1"/>
  <c r="F1239" i="1"/>
  <c r="C12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tc={F7FFC59F-A827-41DA-9B07-EA4B143E5F98}</author>
    <author>tc={4273EFEE-FB08-4DA9-A4D3-119FAB3C4A3C}</author>
    <author>tc={8068242D-7E2B-495A-A2F7-28608BB45067}</author>
    <author>tc={C2A4A738-670F-4089-8077-39F7B046B6AE}</author>
    <author>tc={1F745C1B-0C98-44AA-898D-B0AB4E692D0F}</author>
    <author>tc={4A65D3E2-44EA-42DA-B0A8-47F863D851C8}</author>
    <author>tc={C431F7AF-9E46-4506-A013-81029FD716A6}</author>
    <author>tc={778BB739-0AA6-455D-A2C8-E8131ACBA8D9}</author>
    <author>tc={175C649E-73A9-47F7-9416-676E2F5D7BE5}</author>
    <author>tc={84FD455E-39C0-4320-BD31-90917505ED5E}</author>
    <author>tc={C9F4D590-E7FE-463B-BEA9-0BA49DA28802}</author>
    <author>tc={E3836197-5C07-444B-8311-BB0155A0A666}</author>
    <author>tc={3AC837B3-15E3-4B9E-B101-DF55139432C4}</author>
    <author>tc={B4062088-A477-463D-8382-B42F90DA5D09}</author>
    <author>tc={945DF657-142C-420B-B7CB-1970B704BBC6}</author>
    <author>tc={28EDA23C-134D-4C11-B09A-EA1131232DA3}</author>
    <author>tc={3F1B8BF2-795D-41E7-99A0-1FFE4EACBEB4}</author>
    <author>tc={D9B130F3-76C6-4B86-BDAC-4BDCD0B11C2D}</author>
    <author>tc={F5D133B2-36C5-4A1B-99C1-7D52B2A8D759}</author>
    <author>tc={10766720-EE73-4014-91FB-E8085337F211}</author>
    <author>tc={D6F12EBF-B15F-4DD6-8C15-589A226B6F14}</author>
    <author>tc={F6F204F9-0C53-44C1-B95D-5B375CB6C79A}</author>
    <author>tc={86E67719-B4DD-474A-93A1-71D3E1607DD5}</author>
    <author>tc={A4CCDA43-8A68-4414-9FC8-6D92A469F9CF}</author>
    <author>tc={6FCAD113-99E9-4250-ABAA-CD9232BF553F}</author>
    <author>tc={7FD5644E-88F1-4A79-92CA-5DD2E6DCD42B}</author>
    <author>tc={F40255A4-168B-42AE-B86E-DCFDBEE30AD2}</author>
    <author>tc={E065F4BE-2EA6-4355-8E5D-C819BF923585}</author>
    <author>tc={2BC5FDE0-1F83-474D-8615-EF2F33A4583D}</author>
    <author>tc={0193746B-585C-4473-84E0-59AC39AEF37C}</author>
    <author>tc={114FB9C2-DFC6-40E7-8DFE-5E928145EFF9}</author>
    <author>tc={494BAA2B-0D17-4938-AAD3-DB7714AFEF82}</author>
    <author>tc={68A93E46-69A9-4D70-AD8C-495850FDFD29}</author>
    <author>tc={DE9DD7DC-8B87-4215-9344-040F45BD775D}</author>
    <author>tc={DBC1C201-DE9B-4B2A-B107-93AA6B6991B6}</author>
    <author>tc={D7B9AB14-CF52-4E3D-BE6E-99DCFF06D965}</author>
    <author>tc={CAAF6563-52EB-4CD4-9290-BB94EA0C002A}</author>
    <author>tc={F86004E1-4A2B-4920-8CC0-EDC86DB42AB9}</author>
    <author>tc={119EB838-9C96-4B5D-9DFE-94B69EF281F9}</author>
    <author>tc={A1263387-D066-41AE-A3AF-B70DF12BB27D}</author>
    <author>tc={278384DC-0C54-4319-B6EB-70DD809DF208}</author>
    <author>tc={BBCC82D0-15A7-47AA-9877-7D2AAB489E5D}</author>
    <author>tc={F64D37D7-467A-40D6-A51E-3011DF1D6F69}</author>
    <author>tc={7877BC6F-7C74-4637-8420-4B9313DC0DF6}</author>
    <author>tc={01991D22-1050-4FEC-95DC-3ECBEB0836BC}</author>
    <author>tc={BE1E9CED-56D0-42F8-BCAE-2685139DE85C}</author>
    <author>tc={94B28E4C-EFE8-4537-AD5B-3FD07C1D65E0}</author>
    <author>tc={F0EC8308-4B55-406E-9217-6CB751ACD5FE}</author>
    <author>tc={F5351542-EB14-4BE5-9F27-96138F7062ED}</author>
    <author>tc={C6A05E50-EE39-4EE0-844F-1EA4F691590B}</author>
    <author>tc={A5EEB617-CBEF-4D81-9074-51533A7020AE}</author>
    <author>tc={FDAE8225-C794-41C0-8664-309BF8855D27}</author>
    <author>tc={090B185D-6A15-4763-B2F7-13BA1785364A}</author>
    <author>tc={850A03FE-F082-4BE7-8A19-8B04E24CF9E5}</author>
    <author>tc={8D89D4BA-7D13-4BD9-AA6F-1B5DA0BBF285}</author>
    <author>tc={836AEE6A-D24A-4979-BDB4-17B5ABFCF05A}</author>
    <author>tc={9A7F8FB2-A99B-465B-A563-8054ECB30F96}</author>
    <author>tc={3B8067B9-3EBC-4D98-90E8-50D61807AD55}</author>
    <author>tc={8BE2FF69-4BB7-45D2-A5C0-9DB550EBF0EA}</author>
    <author>tc={74ABD686-83B3-4102-8C96-6F3369AA9588}</author>
    <author>tc={1835BEF8-4C6C-4399-A6AA-30A7217AD1BE}</author>
    <author>tc={B1D8B7F9-C990-4C45-8FB5-0AC4B7E2A16B}</author>
    <author>tc={CBE3DA09-DD9B-4296-9C82-A5380B609D2D}</author>
    <author>tc={AD37B9F2-7226-4EEC-B711-20A3BCB1B0DC}</author>
    <author>tc={C6F26DEA-D542-4CDA-995E-81A6162FB6C5}</author>
    <author>tc={F04F767E-0E05-415E-B4A2-D8FBAF6487F7}</author>
    <author>tc={16F4469E-F1CC-4AD1-A5C9-C903142DA675}</author>
    <author>tc={D60452C0-B45C-4FDC-BFB6-8474E146B33D}</author>
    <author>tc={765EBFE5-AB9C-4CCE-9B57-617E99DA30BE}</author>
    <author>tc={23FFA95B-F563-4FCD-A863-DE311217BF14}</author>
    <author>tc={D60AFD24-C74A-4600-B07A-DFE46DE0F117}</author>
    <author>tc={AE936BA9-665C-4277-BF31-47C8D1CF80A7}</author>
    <author>tc={D02330BB-30A7-455E-9BD4-D0B0065D8AEF}</author>
    <author>tc={6F03EE04-E27A-44B9-AD8A-C00A9EF3D996}</author>
    <author>tc={B789A448-F068-4122-9DBD-6A7A989B1758}</author>
    <author>tc={93D47AF2-E1E1-44C3-9001-631E9E3AEE28}</author>
    <author>tc={08F8AAF1-D98E-4581-A1DF-51A407AF6B64}</author>
    <author>tc={B451371F-0C24-4878-9A56-62253F70DD0E}</author>
    <author>tc={19F9054C-811D-4C98-8B0E-C2EF9C1D2F93}</author>
    <author>tc={09D5ACE7-BB01-48A5-A0F9-103FF9BD6757}</author>
    <author>tc={527EA41F-A264-4901-996D-650B80C372A0}</author>
    <author>tc={A2DCCB2E-3F5F-4353-A779-F26101A3F542}</author>
    <author>tc={104D3979-E478-4322-8B82-CE9A32731277}</author>
    <author>tc={BCD369D0-7217-4895-81FE-AD74346EEC20}</author>
    <author>tc={9780E544-088C-4A98-9D32-7055F5CFDF87}</author>
    <author>tc={2DD900B9-27DB-4EF3-8F2F-361882371BB3}</author>
    <author>tc={94069634-B29B-4902-8AE3-8A386BBB4F4B}</author>
    <author>tc={979EF3A0-8256-42C8-9071-DA3D3F8B0717}</author>
    <author>tc={BD4004E8-CB9D-463B-ABEE-EB04AACC4252}</author>
    <author>tc={963F2BBB-8300-47E9-BD79-73C90E2C9D0E}</author>
    <author>tc={2B18B1EB-E9E3-416A-B28E-EBF6928D6B1A}</author>
    <author>tc={FBFC4D71-F54C-4920-8D28-D7C95DED87BD}</author>
    <author>tc={C1B647BC-4FFF-43AE-B39C-4B0772B6FC52}</author>
    <author>tc={5B4207C5-BECD-458A-A05C-C2EB9BA150EF}</author>
    <author>tc={A51120D2-43D8-4E52-BBC6-2B938FD490FE}</author>
    <author>tc={720EFE5D-288D-46C0-8623-CCD9F8560A8D}</author>
    <author>tc={EE4686B9-74F8-4B22-8B46-83CFD1799249}</author>
    <author>tc={22CDE47C-F15B-43F7-8407-B67A72DB80AC}</author>
    <author>tc={A08347A3-1C98-46D7-80A8-591630C070C6}</author>
    <author>tc={F1BE02F5-A32B-49FD-B910-FC06FA61B317}</author>
    <author>tc={5FF54B56-D7A9-4ADD-94F0-FA68F84F64EC}</author>
    <author>tc={F5B501CD-3EF8-4A70-B545-6EC033043161}</author>
    <author>tc={2825EDD4-F018-446D-BF2F-EC0E24C8DA31}</author>
    <author>tc={AD08F182-D38E-48E2-9C82-E3CB053A86B2}</author>
    <author>tc={E8A7AC02-414B-4730-B895-A058B3A9159E}</author>
    <author>tc={10CC0651-B544-4340-8A2D-75B66533985E}</author>
    <author>tc={D64EB31B-880B-4F86-A802-9D80FAEC8E2D}</author>
    <author>tc={A8978389-6ECD-43EB-817E-6CB014DF0AB6}</author>
    <author>tc={B962D58C-18D5-42F8-B762-E11E2BD8DB6D}</author>
    <author>tc={1BED0159-E870-45AA-8A4D-71AFCAE40C38}</author>
    <author>tc={D5A93C69-5263-444F-A63A-13A91D739B92}</author>
    <author>tc={3B4C60EA-3F4A-4CE3-9D24-728FC0684324}</author>
    <author>tc={96050679-B80E-4E84-B0C1-5AD150C626A7}</author>
    <author>tc={3E8B3840-0173-40A1-8D21-9AF48805702B}</author>
    <author>tc={8EBA0C7D-7938-477A-9226-E4AEB04E7A0D}</author>
    <author>tc={0B34CBF0-6E2C-4A25-9C44-4585FE400563}</author>
    <author>tc={68EC8EE7-7EBC-46CC-83D1-8ABB1BE82EA8}</author>
    <author>tc={0A77076E-04FA-4C8E-B5D5-E5063FFBB7BB}</author>
    <author>tc={12CE8216-9B96-4A17-8157-3FE0665CA51B}</author>
    <author>tc={A958FC78-0A2B-4F44-AAAF-57C296CBF24A}</author>
    <author>tc={4EFB9476-BD81-48AF-93F8-C3F4DF476A2D}</author>
    <author>tc={9F3150CF-22DB-4337-BDA1-C8AB50F92D34}</author>
    <author>tc={57F0E1BA-D1BA-4848-A02B-21F1F6CA1CEE}</author>
    <author>tc={CB4BC50B-B650-4136-BD52-8323ED2E5BA0}</author>
    <author>tc={909FF861-5A10-49FA-A8BA-1DA121E14E01}</author>
    <author>tc={6E274572-D0A5-4749-8F85-3EFBDE63AA24}</author>
    <author>tc={88C0ED0C-FBA8-4CDA-AF6D-FCC29123E762}</author>
    <author>tc={54DC626E-6848-4110-AB4F-A8602048A563}</author>
    <author>tc={CE62D9C3-1D81-4165-9B28-7BAD1493C2BA}</author>
    <author>tc={4D80F255-2FB9-43FA-AB51-28A85C439804}</author>
    <author>tc={72E506E7-A115-4F3B-9BF5-C100490A3FE5}</author>
    <author>tc={B41D9BB5-CB10-41A4-A75A-46DFC6F05893}</author>
    <author>tc={B0C10F77-6134-4769-98A0-433F7DDC8E15}</author>
    <author>tc={961CF0F3-824E-48C5-A182-E4A7B67852B8}</author>
    <author>tc={D1E07FB8-8ADA-4EF6-9659-46F32309F104}</author>
    <author>tc={6BAECE1E-7A48-4A60-9FA3-98E68F62568D}</author>
    <author>tc={E2BC8ECE-F273-425C-8F5D-1F5BC8C05134}</author>
    <author>tc={A8DF031F-85A5-4537-925F-D88E48FBE66D}</author>
    <author>tc={FE702DEF-9186-48CF-B9AE-F06462057154}</author>
    <author>tc={001F6106-5A04-4320-A739-26248428702B}</author>
    <author>tc={28614F09-87E0-49F3-B92C-0F1968660B1A}</author>
    <author>tc={E8153300-418B-48AC-AB2F-0F4807FE7BE6}</author>
    <author>tc={DF7992D6-C361-44C9-9E6D-10A6960A3226}</author>
  </authors>
  <commentList>
    <comment ref="C1" authorId="0" shapeId="0" xr:uid="{F7FFC59F-A827-41DA-9B07-EA4B143E5F98}">
      <text>
        <t>[Threaded comment]
Your version of Excel allows you to read this threaded comment; however, any edits to it will get removed if the file is opened in a newer version of Excel. Learn more: https://go.microsoft.com/fwlink/?linkid=870924
Comment:
    Source: baja paystubs</t>
      </text>
    </comment>
    <comment ref="D1" authorId="1" shapeId="0" xr:uid="{4273EFEE-FB08-4DA9-A4D3-119FAB3C4A3C}">
      <text>
        <t>[Threaded comment]
Your version of Excel allows you to read this threaded comment; however, any edits to it will get removed if the file is opened in a newer version of Excel. Learn more: https://go.microsoft.com/fwlink/?linkid=870924
Comment:
    Source: baja paystubs</t>
      </text>
    </comment>
    <comment ref="E1" authorId="2" shapeId="0" xr:uid="{8068242D-7E2B-495A-A2F7-28608BB45067}">
      <text>
        <t>[Threaded comment]
Your version of Excel allows you to read this threaded comment; however, any edits to it will get removed if the file is opened in a newer version of Excel. Learn more: https://go.microsoft.com/fwlink/?linkid=870924
Comment:
    Source: baja paystubs</t>
      </text>
    </comment>
    <comment ref="F1" authorId="3" shapeId="0" xr:uid="{C2A4A738-670F-4089-8077-39F7B046B6AE}">
      <text>
        <t>[Threaded comment]
Your version of Excel allows you to read this threaded comment; however, any edits to it will get removed if the file is opened in a newer version of Excel. Learn more: https://go.microsoft.com/fwlink/?linkid=870924
Comment:
    Source: baja paystubs</t>
      </text>
    </comment>
    <comment ref="N1" authorId="4" shapeId="0" xr:uid="{1F745C1B-0C98-44AA-898D-B0AB4E692D0F}">
      <text>
        <t>[Threaded comment]
Your version of Excel allows you to read this threaded comment; however, any edits to it will get removed if the file is opened in a newer version of Excel. Learn more: https://go.microsoft.com/fwlink/?linkid=870924
Comment:
    Source: Baja Newway Invoice Hours Spreadsheet</t>
      </text>
    </comment>
    <comment ref="O1" authorId="5" shapeId="0" xr:uid="{4A65D3E2-44EA-42DA-B0A8-47F863D851C8}">
      <text>
        <t>[Threaded comment]
Your version of Excel allows you to read this threaded comment; however, any edits to it will get removed if the file is opened in a newer version of Excel. Learn more: https://go.microsoft.com/fwlink/?linkid=870924
Comment:
    Represents back wages for OT, unless it is green in which case it represents OT plus regular hours.</t>
      </text>
    </comment>
    <comment ref="A2" authorId="6" shapeId="0" xr:uid="{C431F7AF-9E46-4506-A013-81029FD716A6}">
      <text>
        <t>[Threaded comment]
Your version of Excel allows you to read this threaded comment; however, any edits to it will get removed if the file is opened in a newer version of Excel. Learn more: https://go.microsoft.com/fwlink/?linkid=870924
Comment:
    Not on Baja payroll. Only on Newway timesheet.</t>
      </text>
    </comment>
    <comment ref="M14" authorId="7" shapeId="0" xr:uid="{778BB739-0AA6-455D-A2C8-E8131ACBA8D9}">
      <text>
        <t>[Threaded comment]
Your version of Excel allows you to read this threaded comment; however, any edits to it will get removed if the file is opened in a newer version of Excel. Learn more: https://go.microsoft.com/fwlink/?linkid=870924
Comment:
    All highlighted rows is an average of workers hourly rates.</t>
      </text>
    </comment>
    <comment ref="A20" authorId="8" shapeId="0" xr:uid="{175C649E-73A9-47F7-9416-676E2F5D7BE5}">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29" authorId="9" shapeId="0" xr:uid="{84FD455E-39C0-4320-BD31-90917505ED5E}">
      <text>
        <t>[Threaded comment]
Your version of Excel allows you to read this threaded comment; however, any edits to it will get removed if the file is opened in a newer version of Excel. Learn more: https://go.microsoft.com/fwlink/?linkid=870924
Comment:
    Not on Newway timesheet and no Baja paystub, but listed on Baja payroll. This pay period and next.</t>
      </text>
    </comment>
    <comment ref="A31" authorId="10" shapeId="0" xr:uid="{C9F4D590-E7FE-463B-BEA9-0BA49DA28802}">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t>
      </text>
    </comment>
    <comment ref="M45" authorId="11" shapeId="0" xr:uid="{E3836197-5C07-444B-8311-BB0155A0A666}">
      <text>
        <t>[Threaded comment]
Your version of Excel allows you to read this threaded comment; however, any edits to it will get removed if the file is opened in a newer version of Excel. Learn more: https://go.microsoft.com/fwlink/?linkid=870924
Comment:
    Changed from the $9.88 MW, below the minimum compensation for 2019.</t>
      </text>
    </comment>
    <comment ref="A48" authorId="12" shapeId="0" xr:uid="{3AC837B3-15E3-4B9E-B101-DF55139432C4}">
      <text>
        <t>[Threaded comment]
Your version of Excel allows you to read this threaded comment; however, any edits to it will get removed if the file is opened in a newer version of Excel. Learn more: https://go.microsoft.com/fwlink/?linkid=870924
Comment:
    Not on Newway timesheet. All highlighted rows.</t>
      </text>
    </comment>
    <comment ref="A56" authorId="13" shapeId="0" xr:uid="{B4062088-A477-463D-8382-B42F90DA5D09}">
      <text>
        <t>[Threaded comment]
Your version of Excel allows you to read this threaded comment; however, any edits to it will get removed if the file is opened in a newer version of Excel. Learn more: https://go.microsoft.com/fwlink/?linkid=870924
Comment:
    Not on Newway timesheet. All highlighted rows.</t>
      </text>
    </comment>
    <comment ref="A77" authorId="14" shapeId="0" xr:uid="{945DF657-142C-420B-B7CB-1970B704BBC6}">
      <text>
        <t>[Threaded comment]
Your version of Excel allows you to read this threaded comment; however, any edits to it will get removed if the file is opened in a newer version of Excel. Learn more: https://go.microsoft.com/fwlink/?linkid=870924
Comment:
    Two 1/4 checks. I combined the two gross amounts and bonus.</t>
      </text>
    </comment>
    <comment ref="A78" authorId="15" shapeId="0" xr:uid="{28EDA23C-134D-4C11-B09A-EA1131232DA3}">
      <text>
        <t>[Threaded comment]
Your version of Excel allows you to read this threaded comment; however, any edits to it will get removed if the file is opened in a newer version of Excel. Learn more: https://go.microsoft.com/fwlink/?linkid=870924
Comment:
    Two 1/18 checks should we combine them?</t>
      </text>
    </comment>
    <comment ref="A84" authorId="16" shapeId="0" xr:uid="{3F1B8BF2-795D-41E7-99A0-1FFE4EACBEB4}">
      <text>
        <t>[Threaded comment]
Your version of Excel allows you to read this threaded comment; however, any edits to it will get removed if the file is opened in a newer version of Excel. Learn more: https://go.microsoft.com/fwlink/?linkid=870924
Comment:
    Two checks for same pay period on 4/12.</t>
      </text>
    </comment>
    <comment ref="A110" authorId="17" shapeId="0" xr:uid="{D9B130F3-76C6-4B86-BDAC-4BDCD0B11C2D}">
      <text>
        <t>[Threaded comment]
Your version of Excel allows you to read this threaded comment; however, any edits to it will get removed if the file is opened in a newer version of Excel. Learn more: https://go.microsoft.com/fwlink/?linkid=870924
Comment:
    Highlighted rows not on Newway timesheet</t>
      </text>
    </comment>
    <comment ref="M120" authorId="18" shapeId="0" xr:uid="{F5D133B2-36C5-4A1B-99C1-7D52B2A8D759}">
      <text>
        <t>[Threaded comment]
Your version of Excel allows you to read this threaded comment; however, any edits to it will get removed if the file is opened in a newer version of Excel. Learn more: https://go.microsoft.com/fwlink/?linkid=870924
Comment:
    Adjusted from the $11.43 MW, below the minimum compensation for 2019.</t>
      </text>
    </comment>
    <comment ref="A186" authorId="19" shapeId="0" xr:uid="{10766720-EE73-4014-91FB-E8085337F211}">
      <text>
        <t>[Threaded comment]
Your version of Excel allows you to read this threaded comment; however, any edits to it will get removed if the file is opened in a newer version of Excel. Learn more: https://go.microsoft.com/fwlink/?linkid=870924
Comment:
    All highlighted rows not on Newway timesheet.</t>
      </text>
    </comment>
    <comment ref="A192" authorId="20" shapeId="0" xr:uid="{D6F12EBF-B15F-4DD6-8C15-589A226B6F14}">
      <text>
        <t>[Threaded comment]
Your version of Excel allows you to read this threaded comment; however, any edits to it will get removed if the file is opened in a newer version of Excel. Learn more: https://go.microsoft.com/fwlink/?linkid=870924
Comment:
    Not listed on Newway timesheet</t>
      </text>
    </comment>
    <comment ref="A202" authorId="21" shapeId="0" xr:uid="{F6F204F9-0C53-44C1-B95D-5B375CB6C79A}">
      <text>
        <t>[Threaded comment]
Your version of Excel allows you to read this threaded comment; however, any edits to it will get removed if the file is opened in a newer version of Excel. Learn more: https://go.microsoft.com/fwlink/?linkid=870924
Comment:
    All highlighted rows not on Newway timesheet.</t>
      </text>
    </comment>
    <comment ref="F202" authorId="22" shapeId="0" xr:uid="{86E67719-B4DD-474A-93A1-71D3E1607DD5}">
      <text>
        <t>[Threaded comment]
Your version of Excel allows you to read this threaded comment; however, any edits to it will get removed if the file is opened in a newer version of Excel. Learn more: https://go.microsoft.com/fwlink/?linkid=870924
Comment:
    Includes loan to pay of $1000</t>
      </text>
    </comment>
    <comment ref="A217" authorId="23" shapeId="0" xr:uid="{A4CCDA43-8A68-4414-9FC8-6D92A469F9CF}">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t>
      </text>
    </comment>
    <comment ref="A218" authorId="24" shapeId="0" xr:uid="{6FCAD113-99E9-4250-ABAA-CD9232BF553F}">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 All highlighted rows.</t>
      </text>
    </comment>
    <comment ref="A232" authorId="25" shapeId="0" xr:uid="{7FD5644E-88F1-4A79-92CA-5DD2E6DCD42B}">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F263" authorId="26" shapeId="0" xr:uid="{F40255A4-168B-42AE-B86E-DCFDBEE30AD2}">
      <text>
        <t>[Threaded comment]
Your version of Excel allows you to read this threaded comment; however, any edits to it will get removed if the file is opened in a newer version of Excel. Learn more: https://go.microsoft.com/fwlink/?linkid=870924
Comment:
    Includes 6 hours of OT</t>
      </text>
    </comment>
    <comment ref="A267" authorId="27" shapeId="0" xr:uid="{E065F4BE-2EA6-4355-8E5D-C819BF923585}">
      <text>
        <t>[Threaded comment]
Your version of Excel allows you to read this threaded comment; however, any edits to it will get removed if the file is opened in a newer version of Excel. Learn more: https://go.microsoft.com/fwlink/?linkid=870924
Comment:
    Not listed on Newway timesheet.</t>
      </text>
    </comment>
    <comment ref="A290" authorId="28" shapeId="0" xr:uid="{2BC5FDE0-1F83-474D-8615-EF2F33A4583D}">
      <text>
        <t>[Threaded comment]
Your version of Excel allows you to read this threaded comment; however, any edits to it will get removed if the file is opened in a newer version of Excel. Learn more: https://go.microsoft.com/fwlink/?linkid=870924
Comment:
    Not on Newway timesheet. This pay period and next.</t>
      </text>
    </comment>
    <comment ref="A293" authorId="29" shapeId="0" xr:uid="{0193746B-585C-4473-84E0-59AC39AEF37C}">
      <text>
        <t>[Threaded comment]
Your version of Excel allows you to read this threaded comment; however, any edits to it will get removed if the file is opened in a newer version of Excel. Learn more: https://go.microsoft.com/fwlink/?linkid=870924
Comment:
    Not listed on Newway timesheet. Next three pay periods.</t>
      </text>
    </comment>
    <comment ref="A299" authorId="30" shapeId="0" xr:uid="{114FB9C2-DFC6-40E7-8DFE-5E928145EFF9}">
      <text>
        <t>[Threaded comment]
Your version of Excel allows you to read this threaded comment; however, any edits to it will get removed if the file is opened in a newer version of Excel. Learn more: https://go.microsoft.com/fwlink/?linkid=870924
Comment:
    Not listed on Newway timesheet. This ay period and next.</t>
      </text>
    </comment>
    <comment ref="A313" authorId="31" shapeId="0" xr:uid="{494BAA2B-0D17-4938-AAD3-DB7714AFEF82}">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 All highlighted rows.</t>
      </text>
    </comment>
    <comment ref="B333" authorId="32" shapeId="0" xr:uid="{68A93E46-69A9-4D70-AD8C-495850FDFD29}">
      <text>
        <t>[Threaded comment]
Your version of Excel allows you to read this threaded comment; however, any edits to it will get removed if the file is opened in a newer version of Excel. Learn more: https://go.microsoft.com/fwlink/?linkid=870924
Comment:
    We determined that the person listed as Camilo Diaz on the timesheets was listed as John Diaz in the payroll records. The pay dates and fluctuations in earnings align with the timesheet pay periods and go up and down roughly in accordance with total hours worked in that PP.</t>
      </text>
    </comment>
    <comment ref="A341" authorId="33" shapeId="0" xr:uid="{DE9DD7DC-8B87-4215-9344-040F45BD775D}">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t>
      </text>
    </comment>
    <comment ref="A348" authorId="34" shapeId="0" xr:uid="{DBC1C201-DE9B-4B2A-B107-93AA6B6991B6}">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M354" authorId="35" shapeId="0" xr:uid="{D7B9AB14-CF52-4E3D-BE6E-99DCFF06D965}">
      <text>
        <t>[Threaded comment]
Your version of Excel allows you to read this threaded comment; however, any edits to it will get removed if the file is opened in a newer version of Excel. Learn more: https://go.microsoft.com/fwlink/?linkid=870924
Comment:
    Hourly rate was $6.03, below the minimum compensation for 2019.</t>
      </text>
    </comment>
    <comment ref="M355" authorId="36" shapeId="0" xr:uid="{CAAF6563-52EB-4CD4-9290-BB94EA0C002A}">
      <text>
        <t>[Threaded comment]
Your version of Excel allows you to read this threaded comment; however, any edits to it will get removed if the file is opened in a newer version of Excel. Learn more: https://go.microsoft.com/fwlink/?linkid=870924
Comment:
    Changed frm $8.18 hourly rate, to minimum compensation for 2019.</t>
      </text>
    </comment>
    <comment ref="R363" authorId="37" shapeId="0" xr:uid="{F86004E1-4A2B-4920-8CC0-EDC86DB42AB9}">
      <text>
        <t>[Threaded comment]
Your version of Excel allows you to read this threaded comment; however, any edits to it will get removed if the file is opened in a newer version of Excel. Learn more: https://go.microsoft.com/fwlink/?linkid=870924
Comment:
    Based off unathorized deductions.</t>
      </text>
    </comment>
    <comment ref="A365" authorId="38" shapeId="0" xr:uid="{119EB838-9C96-4B5D-9DFE-94B69EF281F9}">
      <text>
        <t>[Threaded comment]
Your version of Excel allows you to read this threaded comment; however, any edits to it will get removed if the file is opened in a newer version of Excel. Learn more: https://go.microsoft.com/fwlink/?linkid=870924
Comment:
    Not listed on Newway timesheet</t>
      </text>
    </comment>
    <comment ref="F370" authorId="39" shapeId="0" xr:uid="{A1263387-D066-41AE-A3AF-B70DF12BB27D}">
      <text>
        <t>[Threaded comment]
Your version of Excel allows you to read this threaded comment; however, any edits to it will get removed if the file is opened in a newer version of Excel. Learn more: https://go.microsoft.com/fwlink/?linkid=870924
Comment:
    Minus $1000 loan.</t>
      </text>
    </comment>
    <comment ref="A375" authorId="40" shapeId="0" xr:uid="{278384DC-0C54-4319-B6EB-70DD809DF208}">
      <text>
        <t>[Threaded comment]
Your version of Excel allows you to read this threaded comment; however, any edits to it will get removed if the file is opened in a newer version of Excel. Learn more: https://go.microsoft.com/fwlink/?linkid=870924
Comment:
    Listed on Baja timesheet but no Baja paystubs.</t>
      </text>
    </comment>
    <comment ref="A382" authorId="41" shapeId="0" xr:uid="{BBCC82D0-15A7-47AA-9877-7D2AAB489E5D}">
      <text>
        <t>[Threaded comment]
Your version of Excel allows you to read this threaded comment; however, any edits to it will get removed if the file is opened in a newer version of Excel. Learn more: https://go.microsoft.com/fwlink/?linkid=870924
Comment:
    Next 4 weeks not listed on Newway timesheet</t>
      </text>
    </comment>
    <comment ref="A392" authorId="42" shapeId="0" xr:uid="{F64D37D7-467A-40D6-A51E-3011DF1D6F69}">
      <text>
        <t>[Threaded comment]
Your version of Excel allows you to read this threaded comment; however, any edits to it will get removed if the file is opened in a newer version of Excel. Learn more: https://go.microsoft.com/fwlink/?linkid=870924
Comment:
    Listed on Baja timesheet, but no Baja paystubs.</t>
      </text>
    </comment>
    <comment ref="A398" authorId="43" shapeId="0" xr:uid="{7877BC6F-7C74-4637-8420-4B9313DC0DF6}">
      <text>
        <t>[Threaded comment]
Your version of Excel allows you to read this threaded comment; however, any edits to it will get removed if the file is opened in a newer version of Excel. Learn more: https://go.microsoft.com/fwlink/?linkid=870924
Comment:
    Not listed on Newway timesheet next 5 weeks</t>
      </text>
    </comment>
    <comment ref="A404" authorId="44" shapeId="0" xr:uid="{01991D22-1050-4FEC-95DC-3ECBEB0836BC}">
      <text>
        <t>[Threaded comment]
Your version of Excel allows you to read this threaded comment; however, any edits to it will get removed if the file is opened in a newer version of Excel. Learn more: https://go.microsoft.com/fwlink/?linkid=870924
Comment:
    Listed on Baja timesheets, but no Baja paystubs.</t>
      </text>
    </comment>
    <comment ref="F410" authorId="45" shapeId="0" xr:uid="{BE1E9CED-56D0-42F8-BCAE-2685139DE85C}">
      <text>
        <t>[Threaded comment]
Your version of Excel allows you to read this threaded comment; however, any edits to it will get removed if the file is opened in a newer version of Excel. Learn more: https://go.microsoft.com/fwlink/?linkid=870924
Comment:
    Minus $1000 loan</t>
      </text>
    </comment>
    <comment ref="A414" authorId="46" shapeId="0" xr:uid="{94B28E4C-EFE8-4537-AD5B-3FD07C1D65E0}">
      <text>
        <t>[Threaded comment]
Your version of Excel allows you to read this threaded comment; however, any edits to it will get removed if the file is opened in a newer version of Excel. Learn more: https://go.microsoft.com/fwlink/?linkid=870924
Comment:
    Listed on Baja timesheet, but no Baja paystub.</t>
      </text>
    </comment>
    <comment ref="A415" authorId="47" shapeId="0" xr:uid="{F0EC8308-4B55-406E-9217-6CB751ACD5FE}">
      <text>
        <t>[Threaded comment]
Your version of Excel allows you to read this threaded comment; however, any edits to it will get removed if the file is opened in a newer version of Excel. Learn more: https://go.microsoft.com/fwlink/?linkid=870924
Comment:
    Listed on Baja timsheet, but no Baja paystub.</t>
      </text>
    </comment>
    <comment ref="R420" authorId="48" shapeId="0" xr:uid="{F5351542-EB14-4BE5-9F27-96138F7062ED}">
      <text>
        <t>[Threaded comment]
Your version of Excel allows you to read this threaded comment; however, any edits to it will get removed if the file is opened in a newer version of Excel. Learn more: https://go.microsoft.com/fwlink/?linkid=870924
Comment:
    Based off other WT violations.</t>
      </text>
    </comment>
    <comment ref="A422" authorId="49" shapeId="0" xr:uid="{C6A05E50-EE39-4EE0-844F-1EA4F691590B}">
      <text>
        <t>[Threaded comment]
Your version of Excel allows you to read this threaded comment; however, any edits to it will get removed if the file is opened in a newer version of Excel. Learn more: https://go.microsoft.com/fwlink/?linkid=870924
Comment:
    Listed on Baja timesheet, but no paystub.</t>
      </text>
    </comment>
    <comment ref="A451" authorId="50" shapeId="0" xr:uid="{A5EEB617-CBEF-4D81-9074-51533A7020AE}">
      <text>
        <t>[Threaded comment]
Your version of Excel allows you to read this threaded comment; however, any edits to it will get removed if the file is opened in a newer version of Excel. Learn more: https://go.microsoft.com/fwlink/?linkid=870924
Comment:
    Listed on Baja timesheet, but no Baja paystub.</t>
      </text>
    </comment>
    <comment ref="N453" authorId="51" shapeId="0" xr:uid="{FDAE8225-C794-41C0-8664-309BF8855D27}">
      <text>
        <t>[Threaded comment]
Your version of Excel allows you to read this threaded comment; however, any edits to it will get removed if the file is opened in a newer version of Excel. Learn more: https://go.microsoft.com/fwlink/?linkid=870924
Comment:
    53.5 in one week.</t>
      </text>
    </comment>
    <comment ref="A456" authorId="52" shapeId="0" xr:uid="{090B185D-6A15-4763-B2F7-13BA1785364A}">
      <text>
        <t>[Threaded comment]
Your version of Excel allows you to read this threaded comment; however, any edits to it will get removed if the file is opened in a newer version of Excel. Learn more: https://go.microsoft.com/fwlink/?linkid=870924
Comment:
    Listed on Baja timesheet, but no Baja paystub.</t>
      </text>
    </comment>
    <comment ref="A467" authorId="53" shapeId="0" xr:uid="{850A03FE-F082-4BE7-8A19-8B04E24CF9E5}">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469" authorId="54" shapeId="0" xr:uid="{8D89D4BA-7D13-4BD9-AA6F-1B5DA0BBF285}">
      <text>
        <t>[Threaded comment]
Your version of Excel allows you to read this threaded comment; however, any edits to it will get removed if the file is opened in a newer version of Excel. Learn more: https://go.microsoft.com/fwlink/?linkid=870924
Comment:
    Next 3 weeks not on Newway timesheet</t>
      </text>
    </comment>
    <comment ref="A476" authorId="55" shapeId="0" xr:uid="{836AEE6A-D24A-4979-BDB4-17B5ABFCF05A}">
      <text>
        <t>[Threaded comment]
Your version of Excel allows you to read this threaded comment; however, any edits to it will get removed if the file is opened in a newer version of Excel. Learn more: https://go.microsoft.com/fwlink/?linkid=870924
Comment:
    This week and next not on Newway timesheet</t>
      </text>
    </comment>
    <comment ref="A480" authorId="56" shapeId="0" xr:uid="{9A7F8FB2-A99B-465B-A563-8054ECB30F96}">
      <text>
        <t>[Threaded comment]
Your version of Excel allows you to read this threaded comment; however, any edits to it will get removed if the file is opened in a newer version of Excel. Learn more: https://go.microsoft.com/fwlink/?linkid=870924
Comment:
    All highlighted rows are not on Newway timesheet for Ruben</t>
      </text>
    </comment>
    <comment ref="A509" authorId="57" shapeId="0" xr:uid="{3B8067B9-3EBC-4D98-90E8-50D61807AD55}">
      <text>
        <t>[Threaded comment]
Your version of Excel allows you to read this threaded comment; however, any edits to it will get removed if the file is opened in a newer version of Excel. Learn more: https://go.microsoft.com/fwlink/?linkid=870924
Comment:
    Listed on Baja timesheet, but no Baja paystub.</t>
      </text>
    </comment>
    <comment ref="F510" authorId="58" shapeId="0" xr:uid="{8BE2FF69-4BB7-45D2-A5C0-9DB550EBF0EA}">
      <text>
        <t>[Threaded comment]
Your version of Excel allows you to read this threaded comment; however, any edits to it will get removed if the file is opened in a newer version of Excel. Learn more: https://go.microsoft.com/fwlink/?linkid=870924
Comment:
    Includes 1.5 of OT</t>
      </text>
    </comment>
    <comment ref="A512" authorId="59" shapeId="0" xr:uid="{74ABD686-83B3-4102-8C96-6F3369AA9588}">
      <text>
        <t>[Threaded comment]
Your version of Excel allows you to read this threaded comment; however, any edits to it will get removed if the file is opened in a newer version of Excel. Learn more: https://go.microsoft.com/fwlink/?linkid=870924
Comment:
    This and the next date not listed on Newway timesheet</t>
      </text>
    </comment>
    <comment ref="F515" authorId="60" shapeId="0" xr:uid="{1835BEF8-4C6C-4399-A6AA-30A7217AD1BE}">
      <text>
        <t>[Threaded comment]
Your version of Excel allows you to read this threaded comment; however, any edits to it will get removed if the file is opened in a newer version of Excel. Learn more: https://go.microsoft.com/fwlink/?linkid=870924
Comment:
    Includes 29.50 of OT</t>
      </text>
    </comment>
    <comment ref="F516" authorId="61" shapeId="0" xr:uid="{B1D8B7F9-C990-4C45-8FB5-0AC4B7E2A16B}">
      <text>
        <t>[Threaded comment]
Your version of Excel allows you to read this threaded comment; however, any edits to it will get removed if the file is opened in a newer version of Excel. Learn more: https://go.microsoft.com/fwlink/?linkid=870924
Comment:
    Includes 30.50 hours of OT, according to paystub.</t>
      </text>
    </comment>
    <comment ref="M538" authorId="62" shapeId="0" xr:uid="{CBE3DA09-DD9B-4296-9C82-A5380B609D2D}">
      <text>
        <t>[Threaded comment]
Your version of Excel allows you to read this threaded comment; however, any edits to it will get removed if the file is opened in a newer version of Excel. Learn more: https://go.microsoft.com/fwlink/?linkid=870924
Comment:
    adjusted from $9.75 hourly rate, to MW compensation for 2019.</t>
      </text>
    </comment>
    <comment ref="M545" authorId="63" shapeId="0" xr:uid="{AD37B9F2-7226-4EEC-B711-20A3BCB1B0DC}">
      <text>
        <t>[Threaded comment]
Your version of Excel allows you to read this threaded comment; however, any edits to it will get removed if the file is opened in a newer version of Excel. Learn more: https://go.microsoft.com/fwlink/?linkid=870924
Comment:
    adjusted from $6.93 hourly rate to MW compensation for 2019.</t>
      </text>
    </comment>
    <comment ref="F548" authorId="64" shapeId="0" xr:uid="{C6F26DEA-D542-4CDA-995E-81A6162FB6C5}">
      <text>
        <t>[Threaded comment]
Your version of Excel allows you to read this threaded comment; however, any edits to it will get removed if the file is opened in a newer version of Excel. Learn more: https://go.microsoft.com/fwlink/?linkid=870924
Comment:
    Also $614 "loan to pay" not added</t>
      </text>
    </comment>
    <comment ref="F555" authorId="65" shapeId="0" xr:uid="{F04F767E-0E05-415E-B4A2-D8FBAF6487F7}">
      <text>
        <t>[Threaded comment]
Your version of Excel allows you to read this threaded comment; however, any edits to it will get removed if the file is opened in a newer version of Excel. Learn more: https://go.microsoft.com/fwlink/?linkid=870924
Comment:
    Includes 16 hours of OT. Also didn't add $96 for reimbursments.</t>
      </text>
    </comment>
    <comment ref="A557" authorId="66" shapeId="0" xr:uid="{16F4469E-F1CC-4AD1-A5C9-C903142DA675}">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F560" authorId="67" shapeId="0" xr:uid="{D60452C0-B45C-4FDC-BFB6-8474E146B33D}">
      <text>
        <t>[Threaded comment]
Your version of Excel allows you to read this threaded comment; however, any edits to it will get removed if the file is opened in a newer version of Excel. Learn more: https://go.microsoft.com/fwlink/?linkid=870924
Comment:
    Includes 6.5 hours of OT. Did not include $215 of reimbursement.</t>
      </text>
    </comment>
    <comment ref="F561" authorId="68" shapeId="0" xr:uid="{765EBFE5-AB9C-4CCE-9B57-617E99DA30BE}">
      <text>
        <t>[Threaded comment]
Your version of Excel allows you to read this threaded comment; however, any edits to it will get removed if the file is opened in a newer version of Excel. Learn more: https://go.microsoft.com/fwlink/?linkid=870924
Comment:
    Includes 27 hours of OT according to paystub.</t>
      </text>
    </comment>
    <comment ref="F571" authorId="69" shapeId="0" xr:uid="{23FFA95B-F563-4FCD-A863-DE311217BF14}">
      <text>
        <t>[Threaded comment]
Your version of Excel allows you to read this threaded comment; however, any edits to it will get removed if the file is opened in a newer version of Excel. Learn more: https://go.microsoft.com/fwlink/?linkid=870924
Comment:
    Includes 4 hours of OT</t>
      </text>
    </comment>
    <comment ref="A573" authorId="70" shapeId="0" xr:uid="{D60AFD24-C74A-4600-B07A-DFE46DE0F117}">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D573" authorId="71" shapeId="0" xr:uid="{AE936BA9-665C-4277-BF31-47C8D1CF80A7}">
      <text>
        <t>[Threaded comment]
Your version of Excel allows you to read this threaded comment; however, any edits to it will get removed if the file is opened in a newer version of Excel. Learn more: https://go.microsoft.com/fwlink/?linkid=870924
Comment:
    Not listed on Newway timesheet (next week too)</t>
      </text>
    </comment>
    <comment ref="F577" authorId="72" shapeId="0" xr:uid="{D02330BB-30A7-455E-9BD4-D0B0065D8AEF}">
      <text>
        <t>[Threaded comment]
Your version of Excel allows you to read this threaded comment; however, any edits to it will get removed if the file is opened in a newer version of Excel. Learn more: https://go.microsoft.com/fwlink/?linkid=870924
Comment:
    Includes 7 hours of OT according to paystub,</t>
      </text>
    </comment>
    <comment ref="A580" authorId="73" shapeId="0" xr:uid="{6F03EE04-E27A-44B9-AD8A-C00A9EF3D996}">
      <text>
        <t>[Threaded comment]
Your version of Excel allows you to read this threaded comment; however, any edits to it will get removed if the file is opened in a newer version of Excel. Learn more: https://go.microsoft.com/fwlink/?linkid=870924
Comment:
    All highlighted rows not on Newway timesheet</t>
      </text>
    </comment>
    <comment ref="F583" authorId="74" shapeId="0" xr:uid="{B789A448-F068-4122-9DBD-6A7A989B1758}">
      <text>
        <t>[Threaded comment]
Your version of Excel allows you to read this threaded comment; however, any edits to it will get removed if the file is opened in a newer version of Excel. Learn more: https://go.microsoft.com/fwlink/?linkid=870924
Comment:
    Includes 4.5 of OT</t>
      </text>
    </comment>
    <comment ref="F588" authorId="75" shapeId="0" xr:uid="{93D47AF2-E1E1-44C3-9001-631E9E3AEE28}">
      <text>
        <t>[Threaded comment]
Your version of Excel allows you to read this threaded comment; however, any edits to it will get removed if the file is opened in a newer version of Excel. Learn more: https://go.microsoft.com/fwlink/?linkid=870924
Comment:
    Includes 16.50 of OT</t>
      </text>
    </comment>
    <comment ref="F619" authorId="76" shapeId="0" xr:uid="{08F8AAF1-D98E-4581-A1DF-51A407AF6B64}">
      <text>
        <t>[Threaded comment]
Your version of Excel allows you to read this threaded comment; however, any edits to it will get removed if the file is opened in a newer version of Excel. Learn more: https://go.microsoft.com/fwlink/?linkid=870924
Comment:
    Minus $1700 remibursement</t>
      </text>
    </comment>
    <comment ref="A621" authorId="77" shapeId="0" xr:uid="{B451371F-0C24-4878-9A56-62253F70DD0E}">
      <text>
        <t>[Threaded comment]
Your version of Excel allows you to read this threaded comment; however, any edits to it will get removed if the file is opened in a newer version of Excel. Learn more: https://go.microsoft.com/fwlink/?linkid=870924
Comment:
    Not listed on Newway timesheet</t>
      </text>
    </comment>
    <comment ref="A622" authorId="78" shapeId="0" xr:uid="{19F9054C-811D-4C98-8B0E-C2EF9C1D2F93}">
      <text>
        <t>[Threaded comment]
Your version of Excel allows you to read this threaded comment; however, any edits to it will get removed if the file is opened in a newer version of Excel. Learn more: https://go.microsoft.com/fwlink/?linkid=870924
Comment:
    Not listed on Newway timesheet</t>
      </text>
    </comment>
    <comment ref="F625" authorId="79" shapeId="0" xr:uid="{09D5ACE7-BB01-48A5-A0F9-103FF9BD6757}">
      <text>
        <t>[Threaded comment]
Your version of Excel allows you to read this threaded comment; however, any edits to it will get removed if the file is opened in a newer version of Excel. Learn more: https://go.microsoft.com/fwlink/?linkid=870924
Comment:
    Includes additional 7 hours of OT according to paystub.</t>
      </text>
    </comment>
    <comment ref="A628" authorId="80" shapeId="0" xr:uid="{527EA41F-A264-4901-996D-650B80C372A0}">
      <text>
        <t>[Threaded comment]
Your version of Excel allows you to read this threaded comment; however, any edits to it will get removed if the file is opened in a newer version of Excel. Learn more: https://go.microsoft.com/fwlink/?linkid=870924
Comment:
    Next two weeks not on Newway timesheet</t>
      </text>
    </comment>
    <comment ref="F643" authorId="81" shapeId="0" xr:uid="{A2DCCB2E-3F5F-4353-A779-F26101A3F542}">
      <text>
        <t>[Threaded comment]
Your version of Excel allows you to read this threaded comment; however, any edits to it will get removed if the file is opened in a newer version of Excel. Learn more: https://go.microsoft.com/fwlink/?linkid=870924
Comment:
    Includes 6 hours of OT</t>
      </text>
    </comment>
    <comment ref="A645" authorId="82" shapeId="0" xr:uid="{104D3979-E478-4322-8B82-CE9A32731277}">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46" authorId="83" shapeId="0" xr:uid="{BCD369D0-7217-4895-81FE-AD74346EEC20}">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47" authorId="84" shapeId="0" xr:uid="{9780E544-088C-4A98-9D32-7055F5CFDF87}">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D649" authorId="85" shapeId="0" xr:uid="{2DD900B9-27DB-4EF3-8F2F-361882371BB3}">
      <text>
        <t>[Threaded comment]
Your version of Excel allows you to read this threaded comment; however, any edits to it will get removed if the file is opened in a newer version of Excel. Learn more: https://go.microsoft.com/fwlink/?linkid=870924
Comment:
    25 hours one week, 46 hours next week. So owed 6 hours of OT.</t>
      </text>
    </comment>
    <comment ref="D651" authorId="86" shapeId="0" xr:uid="{94069634-B29B-4902-8AE3-8A386BBB4F4B}">
      <text>
        <t>[Threaded comment]
Your version of Excel allows you to read this threaded comment; however, any edits to it will get removed if the file is opened in a newer version of Excel. Learn more: https://go.microsoft.com/fwlink/?linkid=870924
Comment:
    37.5 hours one week and 58.5 the next week. So owed 18.5 hours of OT</t>
      </text>
    </comment>
    <comment ref="F654" authorId="87" shapeId="0" xr:uid="{979EF3A0-8256-42C8-9071-DA3D3F8B0717}">
      <text>
        <t>[Threaded comment]
Your version of Excel allows you to read this threaded comment; however, any edits to it will get removed if the file is opened in a newer version of Excel. Learn more: https://go.microsoft.com/fwlink/?linkid=870924
Comment:
    Includes 5 hours of OT</t>
      </text>
    </comment>
    <comment ref="A655" authorId="88" shapeId="0" xr:uid="{BD4004E8-CB9D-463B-ABEE-EB04AACC4252}">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56" authorId="89" shapeId="0" xr:uid="{963F2BBB-8300-47E9-BD79-73C90E2C9D0E}">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57" authorId="90" shapeId="0" xr:uid="{2B18B1EB-E9E3-416A-B28E-EBF6928D6B1A}">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F659" authorId="91" shapeId="0" xr:uid="{FBFC4D71-F54C-4920-8D28-D7C95DED87BD}">
      <text>
        <t>[Threaded comment]
Your version of Excel allows you to read this threaded comment; however, any edits to it will get removed if the file is opened in a newer version of Excel. Learn more: https://go.microsoft.com/fwlink/?linkid=870924
Comment:
    Includes 16 hours of OT.</t>
      </text>
    </comment>
    <comment ref="D660" authorId="92" shapeId="0" xr:uid="{C1B647BC-4FFF-43AE-B39C-4B0772B6FC52}">
      <text>
        <t>[Threaded comment]
Your version of Excel allows you to read this threaded comment; however, any edits to it will get removed if the file is opened in a newer version of Excel. Learn more: https://go.microsoft.com/fwlink/?linkid=870924
Comment:
    Owed 12 hours of OT</t>
      </text>
    </comment>
    <comment ref="F660" authorId="93" shapeId="0" xr:uid="{5B4207C5-BECD-458A-A05C-C2EB9BA150EF}">
      <text>
        <t>[Threaded comment]
Your version of Excel allows you to read this threaded comment; however, any edits to it will get removed if the file is opened in a newer version of Excel. Learn more: https://go.microsoft.com/fwlink/?linkid=870924
Comment:
    Includes 24.5 hours of OT. According to paystub.</t>
      </text>
    </comment>
    <comment ref="D662" authorId="94" shapeId="0" xr:uid="{A51120D2-43D8-4E52-BBC6-2B938FD490FE}">
      <text>
        <t>[Threaded comment]
Your version of Excel allows you to read this threaded comment; however, any edits to it will get removed if the file is opened in a newer version of Excel. Learn more: https://go.microsoft.com/fwlink/?linkid=870924
Comment:
    No OT owed</t>
      </text>
    </comment>
    <comment ref="F666" authorId="95" shapeId="0" xr:uid="{720EFE5D-288D-46C0-8623-CCD9F8560A8D}">
      <text>
        <t>[Threaded comment]
Your version of Excel allows you to read this threaded comment; however, any edits to it will get removed if the file is opened in a newer version of Excel. Learn more: https://go.microsoft.com/fwlink/?linkid=870924
Comment:
    Includes 4 hours of OT</t>
      </text>
    </comment>
    <comment ref="A668" authorId="96" shapeId="0" xr:uid="{EE4686B9-74F8-4B22-8B46-83CFD1799249}">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69" authorId="97" shapeId="0" xr:uid="{22CDE47C-F15B-43F7-8407-B67A72DB80AC}">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F672" authorId="98" shapeId="0" xr:uid="{A08347A3-1C98-46D7-80A8-591630C070C6}">
      <text>
        <t>[Threaded comment]
Your version of Excel allows you to read this threaded comment; however, any edits to it will get removed if the file is opened in a newer version of Excel. Learn more: https://go.microsoft.com/fwlink/?linkid=870924
Comment:
    Includes 7 hours of OT. According to paystubs.</t>
      </text>
    </comment>
    <comment ref="A686" authorId="99" shapeId="0" xr:uid="{F1BE02F5-A32B-49FD-B910-FC06FA61B317}">
      <text>
        <t>[Threaded comment]
Your version of Excel allows you to read this threaded comment; however, any edits to it will get removed if the file is opened in a newer version of Excel. Learn more: https://go.microsoft.com/fwlink/?linkid=870924
Comment:
    Not on Newway timesheet next 6 weeks</t>
      </text>
    </comment>
    <comment ref="F686" authorId="100" shapeId="0" xr:uid="{5FF54B56-D7A9-4ADD-94F0-FA68F84F64EC}">
      <text>
        <t>[Threaded comment]
Your version of Excel allows you to read this threaded comment; however, any edits to it will get removed if the file is opened in a newer version of Excel. Learn more: https://go.microsoft.com/fwlink/?linkid=870924
Comment:
    Includes $150 reimbursement</t>
      </text>
    </comment>
    <comment ref="F687" authorId="101" shapeId="0" xr:uid="{F5B501CD-3EF8-4A70-B545-6EC033043161}">
      <text>
        <t>[Threaded comment]
Your version of Excel allows you to read this threaded comment; however, any edits to it will get removed if the file is opened in a newer version of Excel. Learn more: https://go.microsoft.com/fwlink/?linkid=870924
Comment:
    Includes $150 reimbursement</t>
      </text>
    </comment>
    <comment ref="F688" authorId="102" shapeId="0" xr:uid="{2825EDD4-F018-446D-BF2F-EC0E24C8DA31}">
      <text>
        <t>[Threaded comment]
Your version of Excel allows you to read this threaded comment; however, any edits to it will get removed if the file is opened in a newer version of Excel. Learn more: https://go.microsoft.com/fwlink/?linkid=870924
Comment:
    Includes $150 reimbursement</t>
      </text>
    </comment>
    <comment ref="F691" authorId="103" shapeId="0" xr:uid="{AD08F182-D38E-48E2-9C82-E3CB053A86B2}">
      <text>
        <t>[Threaded comment]
Your version of Excel allows you to read this threaded comment; however, any edits to it will get removed if the file is opened in a newer version of Excel. Learn more: https://go.microsoft.com/fwlink/?linkid=870924
Comment:
    Includes $180 reimbursement</t>
      </text>
    </comment>
    <comment ref="F692" authorId="104" shapeId="0" xr:uid="{E8A7AC02-414B-4730-B895-A058B3A9159E}">
      <text>
        <t>[Threaded comment]
Your version of Excel allows you to read this threaded comment; however, any edits to it will get removed if the file is opened in a newer version of Excel. Learn more: https://go.microsoft.com/fwlink/?linkid=870924
Comment:
    Includes $1267.50 in OT and $468 in reimbursement</t>
      </text>
    </comment>
    <comment ref="A698" authorId="105" shapeId="0" xr:uid="{10CC0651-B544-4340-8A2D-75B66533985E}">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99" authorId="106" shapeId="0" xr:uid="{D64EB31B-880B-4F86-A802-9D80FAEC8E2D}">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700" authorId="107" shapeId="0" xr:uid="{A8978389-6ECD-43EB-817E-6CB014DF0AB6}">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705" authorId="108" shapeId="0" xr:uid="{B962D58C-18D5-42F8-B762-E11E2BD8DB6D}">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729" authorId="109" shapeId="0" xr:uid="{1BED0159-E870-45AA-8A4D-71AFCAE40C38}">
      <text>
        <t>[Threaded comment]
Your version of Excel allows you to read this threaded comment; however, any edits to it will get removed if the file is opened in a newer version of Excel. Learn more: https://go.microsoft.com/fwlink/?linkid=870924
Comment:
    Next 4 weeks not on Newway timesheet</t>
      </text>
    </comment>
    <comment ref="F730" authorId="110" shapeId="0" xr:uid="{D5A93C69-5263-444F-A63A-13A91D739B92}">
      <text>
        <t>[Threaded comment]
Your version of Excel allows you to read this threaded comment; however, any edits to it will get removed if the file is opened in a newer version of Excel. Learn more: https://go.microsoft.com/fwlink/?linkid=870924
Comment:
    Loan to pay</t>
      </text>
    </comment>
    <comment ref="F732" authorId="111" shapeId="0" xr:uid="{3B4C60EA-3F4A-4CE3-9D24-728FC0684324}">
      <text>
        <t>[Threaded comment]
Your version of Excel allows you to read this threaded comment; however, any edits to it will get removed if the file is opened in a newer version of Excel. Learn more: https://go.microsoft.com/fwlink/?linkid=870924
Comment:
    Loan deduction</t>
      </text>
    </comment>
    <comment ref="F735" authorId="112" shapeId="0" xr:uid="{96050679-B80E-4E84-B0C1-5AD150C626A7}">
      <text>
        <t>[Threaded comment]
Your version of Excel allows you to read this threaded comment; however, any edits to it will get removed if the file is opened in a newer version of Excel. Learn more: https://go.microsoft.com/fwlink/?linkid=870924
Comment:
    For 48 hours of work according to paystubs.</t>
      </text>
    </comment>
    <comment ref="O735" authorId="113" shapeId="0" xr:uid="{3E8B3840-0173-40A1-8D21-9AF48805702B}">
      <text>
        <t>[Threaded comment]
Your version of Excel allows you to read this threaded comment; however, any edits to it will get removed if the file is opened in a newer version of Excel. Learn more: https://go.microsoft.com/fwlink/?linkid=870924
Comment:
    Baja timesheet says 80 hours worked, but on Baja paystub only paid for 48 hours.</t>
      </text>
    </comment>
    <comment ref="A736" authorId="114" shapeId="0" xr:uid="{8EBA0C7D-7938-477A-9226-E4AEB04E7A0D}">
      <text>
        <t>[Threaded comment]
Your version of Excel allows you to read this threaded comment; however, any edits to it will get removed if the file is opened in a newer version of Excel. Learn more: https://go.microsoft.com/fwlink/?linkid=870924
Comment:
    Listed on Newway timesheet, but no Baja paystub.</t>
      </text>
    </comment>
    <comment ref="M738" authorId="115" shapeId="0" xr:uid="{0B34CBF0-6E2C-4A25-9C44-4585FE400563}">
      <text>
        <t>[Threaded comment]
Your version of Excel allows you to read this threaded comment; however, any edits to it will get removed if the file is opened in a newer version of Excel. Learn more: https://go.microsoft.com/fwlink/?linkid=870924
Comment:
    Adjusted from $11/hr, to MW compensation of 2019.</t>
      </text>
    </comment>
    <comment ref="F748" authorId="116" shapeId="0" xr:uid="{68EC8EE7-7EBC-46CC-83D1-8ABB1BE82EA8}">
      <text>
        <t>[Threaded comment]
Your version of Excel allows you to read this threaded comment; however, any edits to it will get removed if the file is opened in a newer version of Excel. Learn more: https://go.microsoft.com/fwlink/?linkid=870924
Comment:
    Includes 4 hours of OT and $15 reimbursement</t>
      </text>
    </comment>
    <comment ref="A750" authorId="117" shapeId="0" xr:uid="{0A77076E-04FA-4C8E-B5D5-E5063FFBB7BB}">
      <text>
        <t>[Threaded comment]
Your version of Excel allows you to read this threaded comment; however, any edits to it will get removed if the file is opened in a newer version of Excel. Learn more: https://go.microsoft.com/fwlink/?linkid=870924
Comment:
    Next 3 weeks not on Newway timesheet</t>
      </text>
    </comment>
    <comment ref="F751" authorId="118" shapeId="0" xr:uid="{12CE8216-9B96-4A17-8157-3FE0665CA51B}">
      <text>
        <t>[Threaded comment]
Your version of Excel allows you to read this threaded comment; however, any edits to it will get removed if the file is opened in a newer version of Excel. Learn more: https://go.microsoft.com/fwlink/?linkid=870924
Comment:
    Includes $50 reimbursement</t>
      </text>
    </comment>
    <comment ref="F753" authorId="119" shapeId="0" xr:uid="{A958FC78-0A2B-4F44-AAAF-57C296CBF24A}">
      <text>
        <t>[Threaded comment]
Your version of Excel allows you to read this threaded comment; however, any edits to it will get removed if the file is opened in a newer version of Excel. Learn more: https://go.microsoft.com/fwlink/?linkid=870924
Comment:
    Includes 7.5 hours of OT</t>
      </text>
    </comment>
    <comment ref="F754" authorId="120" shapeId="0" xr:uid="{4EFB9476-BD81-48AF-93F8-C3F4DF476A2D}">
      <text>
        <t>[Threaded comment]
Your version of Excel allows you to read this threaded comment; however, any edits to it will get removed if the file is opened in a newer version of Excel. Learn more: https://go.microsoft.com/fwlink/?linkid=870924
Comment:
    Includes 16.5 hours of OT. According to paystub.</t>
      </text>
    </comment>
    <comment ref="F760" authorId="121" shapeId="0" xr:uid="{9F3150CF-22DB-4337-BDA1-C8AB50F92D34}">
      <text>
        <t>[Threaded comment]
Your version of Excel allows you to read this threaded comment; however, any edits to it will get removed if the file is opened in a newer version of Excel. Learn more: https://go.microsoft.com/fwlink/?linkid=870924
Comment:
    Includes 4 hours of OT</t>
      </text>
    </comment>
    <comment ref="A762" authorId="122" shapeId="0" xr:uid="{57F0E1BA-D1BA-4848-A02B-21F1F6CA1CEE}">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763" authorId="123" shapeId="0" xr:uid="{CB4BC50B-B650-4136-BD52-8323ED2E5BA0}">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F766" authorId="124" shapeId="0" xr:uid="{909FF861-5A10-49FA-A8BA-1DA121E14E01}">
      <text>
        <t>[Threaded comment]
Your version of Excel allows you to read this threaded comment; however, any edits to it will get removed if the file is opened in a newer version of Excel. Learn more: https://go.microsoft.com/fwlink/?linkid=870924
Comment:
    includes 8.5 hours of OT. According to paystub.</t>
      </text>
    </comment>
    <comment ref="F796" authorId="125" shapeId="0" xr:uid="{6E274572-D0A5-4749-8F85-3EFBDE63AA24}">
      <text>
        <t>[Threaded comment]
Your version of Excel allows you to read this threaded comment; however, any edits to it will get removed if the file is opened in a newer version of Excel. Learn more: https://go.microsoft.com/fwlink/?linkid=870924
Comment:
    Includes 6 hours of OT. Includes $1000 reimbursment</t>
      </text>
    </comment>
    <comment ref="A798" authorId="126" shapeId="0" xr:uid="{88C0ED0C-FBA8-4CDA-AF6D-FCC29123E762}">
      <text>
        <t>[Threaded comment]
Your version of Excel allows you to read this threaded comment; however, any edits to it will get removed if the file is opened in a newer version of Excel. Learn more: https://go.microsoft.com/fwlink/?linkid=870924
Comment:
    Next 3 weeks missing from Newway paystub</t>
      </text>
    </comment>
    <comment ref="F801" authorId="127" shapeId="0" xr:uid="{54DC626E-6848-4110-AB4F-A8602048A563}">
      <text>
        <t>[Threaded comment]
Your version of Excel allows you to read this threaded comment; however, any edits to it will get removed if the file is opened in a newer version of Excel. Learn more: https://go.microsoft.com/fwlink/?linkid=870924
Comment:
    Includes 7.5 hours of OT.</t>
      </text>
    </comment>
    <comment ref="A802" authorId="128" shapeId="0" xr:uid="{CE62D9C3-1D81-4165-9B28-7BAD1493C2BA}">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813" authorId="129" shapeId="0" xr:uid="{4D80F255-2FB9-43FA-AB51-28A85C439804}">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835" authorId="130" shapeId="0" xr:uid="{72E506E7-A115-4F3B-9BF5-C100490A3FE5}">
      <text>
        <t>[Threaded comment]
Your version of Excel allows you to read this threaded comment; however, any edits to it will get removed if the file is opened in a newer version of Excel. Learn more: https://go.microsoft.com/fwlink/?linkid=870924
Comment:
    This week and next not on Newway timesheet</t>
      </text>
    </comment>
    <comment ref="C839" authorId="131" shapeId="0" xr:uid="{B41D9BB5-CB10-41A4-A75A-46DFC6F05893}">
      <text>
        <t>[Threaded comment]
Your version of Excel allows you to read this threaded comment; however, any edits to it will get removed if the file is opened in a newer version of Excel. Learn more: https://go.microsoft.com/fwlink/?linkid=870924
Comment:
    Net pay listed as zero.</t>
      </text>
    </comment>
    <comment ref="F853" authorId="132" shapeId="0" xr:uid="{B0C10F77-6134-4769-98A0-433F7DDC8E15}">
      <text>
        <t>[Threaded comment]
Your version of Excel allows you to read this threaded comment; however, any edits to it will get removed if the file is opened in a newer version of Excel. Learn more: https://go.microsoft.com/fwlink/?linkid=870924
Comment:
    Includes 4 hours of OT</t>
      </text>
    </comment>
    <comment ref="F859" authorId="133" shapeId="0" xr:uid="{961CF0F3-824E-48C5-A182-E4A7B67852B8}">
      <text>
        <t>[Threaded comment]
Your version of Excel allows you to read this threaded comment; however, any edits to it will get removed if the file is opened in a newer version of Excel. Learn more: https://go.microsoft.com/fwlink/?linkid=870924
Comment:
    Includes 7 hours of OT. According to paystub.</t>
      </text>
    </comment>
    <comment ref="A862" authorId="134" shapeId="0" xr:uid="{D1E07FB8-8ADA-4EF6-9659-46F32309F104}">
      <text>
        <t>[Threaded comment]
Your version of Excel allows you to read this threaded comment; however, any edits to it will get removed if the file is opened in a newer version of Excel. Learn more: https://go.microsoft.com/fwlink/?linkid=870924
Comment:
    All highlighted rows not on Newway timesheet</t>
      </text>
    </comment>
    <comment ref="F893" authorId="135" shapeId="0" xr:uid="{6BAECE1E-7A48-4A60-9FA3-98E68F62568D}">
      <text>
        <t>[Threaded comment]
Your version of Excel allows you to read this threaded comment; however, any edits to it will get removed if the file is opened in a newer version of Excel. Learn more: https://go.microsoft.com/fwlink/?linkid=870924
Comment:
    Minus $1500 loan</t>
      </text>
    </comment>
    <comment ref="F898" authorId="136" shapeId="0" xr:uid="{E2BC8ECE-F273-425C-8F5D-1F5BC8C05134}">
      <text>
        <t>[Threaded comment]
Your version of Excel allows you to read this threaded comment; however, any edits to it will get removed if the file is opened in a newer version of Excel. Learn more: https://go.microsoft.com/fwlink/?linkid=870924
Comment:
    Includes 7 hours of OT</t>
      </text>
    </comment>
    <comment ref="A900" authorId="137" shapeId="0" xr:uid="{A8DF031F-85A5-4537-925F-D88E48FBE66D}">
      <text>
        <t>[Threaded comment]
Your version of Excel allows you to read this threaded comment; however, any edits to it will get removed if the file is opened in a newer version of Excel. Learn more: https://go.microsoft.com/fwlink/?linkid=870924
Comment:
    Not on Newway timesheet. Also next week</t>
      </text>
    </comment>
    <comment ref="F903" authorId="138" shapeId="0" xr:uid="{FE702DEF-9186-48CF-B9AE-F06462057154}">
      <text>
        <t>[Threaded comment]
Your version of Excel allows you to read this threaded comment; however, any edits to it will get removed if the file is opened in a newer version of Excel. Learn more: https://go.microsoft.com/fwlink/?linkid=870924
Comment:
    Includes 29.50 of OT and $194.15 of reimbursement</t>
      </text>
    </comment>
    <comment ref="F904" authorId="139" shapeId="0" xr:uid="{001F6106-5A04-4320-A739-26248428702B}">
      <text>
        <t>[Threaded comment]
Your version of Excel allows you to read this threaded comment; however, any edits to it will get removed if the file is opened in a newer version of Excel. Learn more: https://go.microsoft.com/fwlink/?linkid=870924
Comment:
    Includes 30.5 hours of OT. According to paystubs.</t>
      </text>
    </comment>
    <comment ref="R907" authorId="140" shapeId="0" xr:uid="{28614F09-87E0-49F3-B92C-0F1968660B1A}">
      <text>
        <t>[Threaded comment]
Your version of Excel allows you to read this threaded comment; however, any edits to it will get removed if the file is opened in a newer version of Excel. Learn more: https://go.microsoft.com/fwlink/?linkid=870924
Comment:
    Based on other WT violations.</t>
      </text>
    </comment>
    <comment ref="F908" authorId="141" shapeId="0" xr:uid="{E8153300-418B-48AC-AB2F-0F4807FE7BE6}">
      <text>
        <t>[Threaded comment]
Your version of Excel allows you to read this threaded comment; however, any edits to it will get removed if the file is opened in a newer version of Excel. Learn more: https://go.microsoft.com/fwlink/?linkid=870924
Comment:
    Includes 4 hours of OT</t>
      </text>
    </comment>
    <comment ref="A910" authorId="142" shapeId="0" xr:uid="{DF7992D6-C361-44C9-9E6D-10A6960A3226}">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Williams, Daron</author>
  </authors>
  <commentList>
    <comment ref="A42" authorId="0" shapeId="0" xr:uid="{C81186E0-6337-458D-AB59-860BE0868E60}">
      <text>
        <r>
          <rPr>
            <b/>
            <sz val="9"/>
            <color indexed="81"/>
            <rFont val="Tahoma"/>
            <family val="2"/>
          </rPr>
          <t>Williams, Daron:</t>
        </r>
        <r>
          <rPr>
            <sz val="9"/>
            <color indexed="81"/>
            <rFont val="Tahoma"/>
            <family val="2"/>
          </rPr>
          <t xml:space="preserve">
Removed from receiving a remedy because worked fewer than 90 days to qualify for PSST.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tc={F48E9F66-F7C0-4C6A-AF9B-B25C381447CE}</author>
    <author>tc={6DC0F4A4-B2F7-4868-8BFA-B20A0C56CD94}</author>
    <author>tc={F3E260E7-BF5F-406A-895C-2C8BE0C99B62}</author>
    <author>tc={2C85B56C-FCFA-4030-A6A1-2F9CDE1BCDCA}</author>
    <author>tc={B9057919-5CC4-424F-A955-34FA3C4F50A9}</author>
    <author>tc={70B67C88-A878-48CA-94A3-81685883804C}</author>
    <author>tc={7280D841-C661-43D0-BD8E-57EAEB7CCB8C}</author>
    <author>tc={9A189D7D-F3BD-4AEA-9DF8-4EC75D7A43C1}</author>
    <author>tc={64A93405-38C0-444E-829B-ACF25B980039}</author>
    <author>tc={00B04031-4333-4657-8961-C9A33A00804B}</author>
    <author>tc={3A0794E4-A897-4BC2-BA6E-C071A5CF8D3E}</author>
    <author>tc={125EFFE8-86A5-405C-8A34-80E0585F50EE}</author>
    <author>tc={C6477032-7E0C-4C5F-9045-5BC67EDD4DD2}</author>
    <author>tc={DAFC207F-2583-4FBB-A613-B6E9437743C3}</author>
    <author>tc={E99F68A0-3EBE-423F-8EE9-3B1DDF254807}</author>
    <author>tc={46773D4C-6E46-4875-8089-1DE4780F38D3}</author>
    <author>tc={CA8C5B18-779A-44FF-9A7D-E3D8407ABC9F}</author>
    <author>tc={3E8DB086-35CC-42B1-90C8-445E304C5D20}</author>
    <author>tc={EFEB2E76-B80D-4AB4-9344-973E93E1BC87}</author>
    <author>tc={167C1623-43D9-46D2-B90A-7406B7E2CE39}</author>
    <author>tc={8E3604E5-8964-4D9E-9F5E-8688B0FF3DD2}</author>
    <author>tc={6085C4F7-9221-4173-AD0B-11CA16747BA0}</author>
    <author>tc={C7E788B2-0E7E-4BF1-B70D-B35FE355C537}</author>
    <author>tc={AA5B4E12-5B41-402A-9E03-7BD92171159A}</author>
    <author>tc={6B3C660B-3532-4E92-8A5A-6F2322981208}</author>
    <author>tc={B89C945E-3551-46B2-AD64-D3D798010E12}</author>
    <author>tc={32DC5869-742B-44E8-A774-13811842639C}</author>
    <author>tc={BE2A2E52-8187-4B43-B1A5-4813580537E9}</author>
    <author>tc={668D334D-F162-4806-9083-3A77C71D8817}</author>
    <author>tc={D13C0472-BC6A-4F3E-A095-DBF39C829BEF}</author>
    <author>tc={24FF58DC-F593-4A9A-9E02-270B9210A9DA}</author>
    <author>tc={32152F1C-5F49-48FE-A738-5D76122666D9}</author>
    <author>tc={71E694A5-8DBA-4ACB-A831-EB327BFF753B}</author>
    <author>tc={02DCB983-A7A3-42F9-94DB-47C9BF6F66D9}</author>
    <author>tc={83EB11F0-B2D4-4CBA-A53C-77574138A0E8}</author>
    <author>tc={37FE1454-0C41-4C45-8393-6DDB6CC03025}</author>
    <author>tc={61EB42E1-A5EB-4E0D-9C9F-EBA98D0F45CB}</author>
    <author>tc={97F744B7-5941-4A1A-86D8-011BE966EF8C}</author>
    <author>tc={C6B59090-633C-4758-98E3-26F4151CF611}</author>
    <author>tc={BBBEF6F3-733C-460F-9483-5DE596F5D0D1}</author>
    <author>tc={72A292B4-1CA0-4065-A605-26B2601693AA}</author>
    <author>tc={5316D00C-DDEC-484B-98CD-EC8305FAFD0A}</author>
    <author>tc={173233E2-87B2-4153-A134-2573D7C53C7A}</author>
    <author>tc={AA983BB5-F04F-4D13-8376-11C47182B126}</author>
    <author>tc={8293950A-FFA1-4E22-A9A7-4F7304EFA70A}</author>
    <author>tc={B3D3EBB2-29C7-4593-A5EF-C1E07E60CE62}</author>
    <author>tc={52DBB879-9CB8-43DB-A092-B10D85B300AC}</author>
    <author>tc={B882DC96-61FE-4A80-AD7A-6CCA67228843}</author>
    <author>tc={EB6A3AAF-47F7-4778-9CEF-BE2D902A8028}</author>
    <author>tc={2C04E359-F666-4116-8138-FC6759A3D6A8}</author>
    <author>tc={52D306BA-E778-4400-9DFC-771478C4453E}</author>
    <author>tc={7E93A3E5-0217-4593-9A34-94B5FE0AF4A2}</author>
    <author>tc={0D340AA1-CBC8-407C-8F50-B431665F9A23}</author>
    <author>tc={83976ADE-29C2-4397-8E2F-3AD06851D0D8}</author>
    <author>tc={7EE2254F-2B7E-473A-871D-393450DB856C}</author>
    <author>tc={CBA7C98B-AFAC-4C05-8C8E-F5967DF06517}</author>
    <author>tc={C1E22336-6B39-43EB-A765-DFCD8612773C}</author>
    <author>tc={19B17828-D1FD-4EC7-9F0A-165D7B483CF1}</author>
    <author>tc={F304B5E4-394F-4920-99FA-AEA9A298F894}</author>
    <author>tc={F18F7E8E-DE7E-4CB8-981E-78F169FB20B8}</author>
    <author>tc={9E8511C6-7AE3-447B-B21F-AEDC139E307C}</author>
    <author>tc={027DAC67-2A73-4649-893B-49F480660043}</author>
    <author>tc={1B591B2C-5A7C-4B21-B2BD-FB3AB4807DA1}</author>
    <author>tc={0E8843FF-C76A-480B-B11F-07DA88A73AB2}</author>
    <author>tc={387678C8-6C36-41EF-9C11-A167FA1CA157}</author>
    <author>tc={1886C127-1623-4240-94DF-8BC7EC7F0056}</author>
    <author>tc={72ED19D0-B8C6-4A9C-91A3-FCE8AFD72657}</author>
    <author>tc={53A93193-9170-413A-85C7-4091FFD08318}</author>
    <author>tc={4E7B9A18-F487-4668-9BBF-98BA47ADB95C}</author>
    <author>tc={7BF2B37D-B18F-47DC-B79D-523EC8D259AF}</author>
    <author>tc={BB3119DB-6BF9-4EE1-B5ED-C175F28EE8C1}</author>
    <author>tc={FD759DCD-8D0F-4682-9F66-207F7F58B580}</author>
    <author>tc={F4EF9179-EFA6-4A7E-AF60-8C2B58DA80EB}</author>
    <author>tc={85750655-24ED-4511-BC86-ADE3CAC2403D}</author>
    <author>tc={EEFD1BC8-8DCE-4BAB-A529-3990BD8590D9}</author>
    <author>tc={94BAEB8E-EFF8-4C70-B8A2-BD418082D58A}</author>
    <author>tc={61789783-E475-4F1A-B0C1-B3574E6F81AD}</author>
    <author>tc={D9E2EB7C-83DD-4FB1-A08F-983FC9A99DC3}</author>
    <author>tc={2F7D8E47-CFBD-4468-8E6A-D88BEFBFF8C1}</author>
    <author>tc={B2B48409-7D5C-4E24-83EC-424D9DCBBFA3}</author>
    <author>tc={755ED544-E464-4C87-B986-7EEF89691F80}</author>
    <author>tc={88877298-E06B-46A0-ADEA-CE93244C95AB}</author>
    <author>tc={7BF37AE1-A489-468A-885F-5F2F00BDF477}</author>
    <author>tc={09DB813B-45DC-4FE6-9BBA-D03E2CB720FF}</author>
    <author>tc={B8B9FB91-6215-4B92-8FD4-640745FAC686}</author>
    <author>tc={2388795F-E1E9-4B4F-8296-DC755415AF09}</author>
    <author>tc={84936505-C3CC-45A1-A13F-E04AB86F415D}</author>
    <author>tc={F9D7AC5C-5D4C-4058-92C0-BD1D8D2FFAA8}</author>
    <author>tc={891AC789-E5A0-4589-95FC-E6CCF07952C1}</author>
    <author>tc={3F4956EC-B8C6-4F1A-AE07-CBB0EC3BA94A}</author>
    <author>tc={0810D596-47C2-4DCD-9591-22B7AFE28B97}</author>
    <author>tc={2F4B7336-067A-41F6-80B1-5B29616FF7CE}</author>
    <author>tc={A95200BC-C36E-4E2E-B1D7-12007C8F9564}</author>
    <author>tc={A26615A2-AE89-45DA-B961-2D56EF73A4D7}</author>
    <author>tc={A7D18EBB-92F5-4E96-918C-EB004833F9CA}</author>
    <author>tc={427EC4D4-9B21-49D8-B833-557E989CA088}</author>
    <author>tc={A49E26A1-D43A-4039-BDFB-A909C49D364D}</author>
    <author>tc={95536D60-056A-414F-B330-8500550130C7}</author>
    <author>tc={5B8D9E85-1CF1-4718-ADBE-AB64AD2E3CB3}</author>
    <author>tc={E3EA73A9-7AAA-447A-93C6-6E4B0EE19E7A}</author>
    <author>tc={2DF66999-9E68-4B33-A32C-03C031C46D47}</author>
    <author>tc={55D56B22-40F5-442C-8471-497EF5113E80}</author>
    <author>tc={4951A667-22B2-4A22-BCE9-B8746195A0A5}</author>
    <author>tc={29395429-F8BB-4324-86CE-7F44FAF299AF}</author>
    <author>tc={FB2B82D6-1475-4179-9DE5-3CCB8F0CC644}</author>
    <author>tc={CA1FB850-7C79-40AE-8963-60A3DEA3FFEC}</author>
    <author>tc={FEA36BA9-07A0-4F64-AD8D-E8D7797E54A0}</author>
    <author>tc={E1188C4F-B9B8-43E0-8731-148F3D3ED279}</author>
    <author>tc={90178667-581C-4B55-BDE6-E0265EFD66C2}</author>
    <author>tc={FBB1786A-E191-4B0C-81FC-ECBE1D6F07C7}</author>
    <author>tc={72540E54-CB50-4842-8382-D50553258936}</author>
    <author>tc={5A9237E6-ECD8-4BF2-9F76-2500585A0EB1}</author>
    <author>tc={C18DAFC2-04DD-4FB3-9381-8778237E4182}</author>
    <author>tc={9E4C7478-F533-4EA1-8051-84CB0B1466A7}</author>
    <author>tc={79A05FC6-CD61-4983-8977-B24BEAB63333}</author>
    <author>tc={94EF9D10-1B7C-4A3D-AA76-A3C649EF2848}</author>
  </authors>
  <commentList>
    <comment ref="A2" authorId="0" shapeId="0" xr:uid="{F48E9F66-F7C0-4C6A-AF9B-B25C381447CE}">
      <text>
        <t>[Threaded comment]
Your version of Excel allows you to read this threaded comment; however, any edits to it will get removed if the file is opened in a newer version of Excel. Learn more: https://go.microsoft.com/fwlink/?linkid=870924
Comment:
    Not on Baja payroll. Only on Newway timesheet.</t>
      </text>
    </comment>
    <comment ref="A20" authorId="1" shapeId="0" xr:uid="{6DC0F4A4-B2F7-4868-8BFA-B20A0C56CD94}">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29" authorId="2" shapeId="0" xr:uid="{F3E260E7-BF5F-406A-895C-2C8BE0C99B62}">
      <text>
        <t>[Threaded comment]
Your version of Excel allows you to read this threaded comment; however, any edits to it will get removed if the file is opened in a newer version of Excel. Learn more: https://go.microsoft.com/fwlink/?linkid=870924
Comment:
    Not on Newway timesheet and no Baja paystub, but listed on Baja payroll. This pay period and next.</t>
      </text>
    </comment>
    <comment ref="A31" authorId="3" shapeId="0" xr:uid="{2C85B56C-FCFA-4030-A6A1-2F9CDE1BCDCA}">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t>
      </text>
    </comment>
    <comment ref="M45" authorId="4" shapeId="0" xr:uid="{B9057919-5CC4-424F-A955-34FA3C4F50A9}">
      <text>
        <t>[Threaded comment]
Your version of Excel allows you to read this threaded comment; however, any edits to it will get removed if the file is opened in a newer version of Excel. Learn more: https://go.microsoft.com/fwlink/?linkid=870924
Comment:
    Changed from the $9.88 MW, below the minimum compensation for 2019.</t>
      </text>
    </comment>
    <comment ref="A48" authorId="5" shapeId="0" xr:uid="{70B67C88-A878-48CA-94A3-81685883804C}">
      <text>
        <t>[Threaded comment]
Your version of Excel allows you to read this threaded comment; however, any edits to it will get removed if the file is opened in a newer version of Excel. Learn more: https://go.microsoft.com/fwlink/?linkid=870924
Comment:
    Not on Newway timesheet. All highlighted rows.</t>
      </text>
    </comment>
    <comment ref="A56" authorId="6" shapeId="0" xr:uid="{7280D841-C661-43D0-BD8E-57EAEB7CCB8C}">
      <text>
        <t>[Threaded comment]
Your version of Excel allows you to read this threaded comment; however, any edits to it will get removed if the file is opened in a newer version of Excel. Learn more: https://go.microsoft.com/fwlink/?linkid=870924
Comment:
    Not on Newway timesheet. All highlighted rows.</t>
      </text>
    </comment>
    <comment ref="A77" authorId="7" shapeId="0" xr:uid="{9A189D7D-F3BD-4AEA-9DF8-4EC75D7A43C1}">
      <text>
        <t>[Threaded comment]
Your version of Excel allows you to read this threaded comment; however, any edits to it will get removed if the file is opened in a newer version of Excel. Learn more: https://go.microsoft.com/fwlink/?linkid=870924
Comment:
    Two 1/4 checks. Should we combine them?</t>
      </text>
    </comment>
    <comment ref="A78" authorId="8" shapeId="0" xr:uid="{64A93405-38C0-444E-829B-ACF25B980039}">
      <text>
        <t>[Threaded comment]
Your version of Excel allows you to read this threaded comment; however, any edits to it will get removed if the file is opened in a newer version of Excel. Learn more: https://go.microsoft.com/fwlink/?linkid=870924
Comment:
    Two 1/18 checks should we combine them?</t>
      </text>
    </comment>
    <comment ref="A84" authorId="9" shapeId="0" xr:uid="{00B04031-4333-4657-8961-C9A33A00804B}">
      <text>
        <t>[Threaded comment]
Your version of Excel allows you to read this threaded comment; however, any edits to it will get removed if the file is opened in a newer version of Excel. Learn more: https://go.microsoft.com/fwlink/?linkid=870924
Comment:
    Two checks for same pay period on 4/12.</t>
      </text>
    </comment>
    <comment ref="A101" authorId="10" shapeId="0" xr:uid="{3A0794E4-A897-4BC2-BA6E-C071A5CF8D3E}">
      <text>
        <t>[Threaded comment]
Your version of Excel allows you to read this threaded comment; however, any edits to it will get removed if the file is opened in a newer version of Excel. Learn more: https://go.microsoft.com/fwlink/?linkid=870924
Comment:
    Need to find out how to match up with Newway timesheet</t>
      </text>
    </comment>
    <comment ref="A110" authorId="11" shapeId="0" xr:uid="{125EFFE8-86A5-405C-8A34-80E0585F50EE}">
      <text>
        <t>[Threaded comment]
Your version of Excel allows you to read this threaded comment; however, any edits to it will get removed if the file is opened in a newer version of Excel. Learn more: https://go.microsoft.com/fwlink/?linkid=870924
Comment:
    Highlighted rows not on Newway timesheet</t>
      </text>
    </comment>
    <comment ref="M120" authorId="12" shapeId="0" xr:uid="{C6477032-7E0C-4C5F-9045-5BC67EDD4DD2}">
      <text>
        <t>[Threaded comment]
Your version of Excel allows you to read this threaded comment; however, any edits to it will get removed if the file is opened in a newer version of Excel. Learn more: https://go.microsoft.com/fwlink/?linkid=870924
Comment:
    Adjusted from the $11.43 MW, below the minimum compensation for 2019.</t>
      </text>
    </comment>
    <comment ref="A186" authorId="13" shapeId="0" xr:uid="{DAFC207F-2583-4FBB-A613-B6E9437743C3}">
      <text>
        <t>[Threaded comment]
Your version of Excel allows you to read this threaded comment; however, any edits to it will get removed if the file is opened in a newer version of Excel. Learn more: https://go.microsoft.com/fwlink/?linkid=870924
Comment:
    All highlighted rows not on Newway timesheet.</t>
      </text>
    </comment>
    <comment ref="A192" authorId="14" shapeId="0" xr:uid="{E99F68A0-3EBE-423F-8EE9-3B1DDF254807}">
      <text>
        <t>[Threaded comment]
Your version of Excel allows you to read this threaded comment; however, any edits to it will get removed if the file is opened in a newer version of Excel. Learn more: https://go.microsoft.com/fwlink/?linkid=870924
Comment:
    Not listed on Newway timesheet</t>
      </text>
    </comment>
    <comment ref="A202" authorId="15" shapeId="0" xr:uid="{46773D4C-6E46-4875-8089-1DE4780F38D3}">
      <text>
        <t>[Threaded comment]
Your version of Excel allows you to read this threaded comment; however, any edits to it will get removed if the file is opened in a newer version of Excel. Learn more: https://go.microsoft.com/fwlink/?linkid=870924
Comment:
    All highlighted rows not on Newway timesheet.</t>
      </text>
    </comment>
    <comment ref="F202" authorId="16" shapeId="0" xr:uid="{CA8C5B18-779A-44FF-9A7D-E3D8407ABC9F}">
      <text>
        <t>[Threaded comment]
Your version of Excel allows you to read this threaded comment; however, any edits to it will get removed if the file is opened in a newer version of Excel. Learn more: https://go.microsoft.com/fwlink/?linkid=870924
Comment:
    Includes loan to pay of $1000</t>
      </text>
    </comment>
    <comment ref="A217" authorId="17" shapeId="0" xr:uid="{3E8DB086-35CC-42B1-90C8-445E304C5D20}">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t>
      </text>
    </comment>
    <comment ref="A218" authorId="18" shapeId="0" xr:uid="{EFEB2E76-B80D-4AB4-9344-973E93E1BC87}">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 All highlighted rows.</t>
      </text>
    </comment>
    <comment ref="A232" authorId="19" shapeId="0" xr:uid="{167C1623-43D9-46D2-B90A-7406B7E2CE39}">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F263" authorId="20" shapeId="0" xr:uid="{8E3604E5-8964-4D9E-9F5E-8688B0FF3DD2}">
      <text>
        <t>[Threaded comment]
Your version of Excel allows you to read this threaded comment; however, any edits to it will get removed if the file is opened in a newer version of Excel. Learn more: https://go.microsoft.com/fwlink/?linkid=870924
Comment:
    Includes 6 hours of OT</t>
      </text>
    </comment>
    <comment ref="A267" authorId="21" shapeId="0" xr:uid="{6085C4F7-9221-4173-AD0B-11CA16747BA0}">
      <text>
        <t>[Threaded comment]
Your version of Excel allows you to read this threaded comment; however, any edits to it will get removed if the file is opened in a newer version of Excel. Learn more: https://go.microsoft.com/fwlink/?linkid=870924
Comment:
    Not listed on Newway timesheet.</t>
      </text>
    </comment>
    <comment ref="A290" authorId="22" shapeId="0" xr:uid="{C7E788B2-0E7E-4BF1-B70D-B35FE355C537}">
      <text>
        <t>[Threaded comment]
Your version of Excel allows you to read this threaded comment; however, any edits to it will get removed if the file is opened in a newer version of Excel. Learn more: https://go.microsoft.com/fwlink/?linkid=870924
Comment:
    Not on Newway timesheet. This pay period and next.</t>
      </text>
    </comment>
    <comment ref="A293" authorId="23" shapeId="0" xr:uid="{AA5B4E12-5B41-402A-9E03-7BD92171159A}">
      <text>
        <t>[Threaded comment]
Your version of Excel allows you to read this threaded comment; however, any edits to it will get removed if the file is opened in a newer version of Excel. Learn more: https://go.microsoft.com/fwlink/?linkid=870924
Comment:
    Not listed on Newway timesheet. Next three pay periods.</t>
      </text>
    </comment>
    <comment ref="A299" authorId="24" shapeId="0" xr:uid="{6B3C660B-3532-4E92-8A5A-6F2322981208}">
      <text>
        <t>[Threaded comment]
Your version of Excel allows you to read this threaded comment; however, any edits to it will get removed if the file is opened in a newer version of Excel. Learn more: https://go.microsoft.com/fwlink/?linkid=870924
Comment:
    Not listed on Newway timesheet. This ay period and next.</t>
      </text>
    </comment>
    <comment ref="A313" authorId="25" shapeId="0" xr:uid="{B89C945E-3551-46B2-AD64-D3D798010E12}">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 All highlighted rows.</t>
      </text>
    </comment>
    <comment ref="B333" authorId="26" shapeId="0" xr:uid="{32DC5869-742B-44E8-A774-13811842639C}">
      <text>
        <t>[Threaded comment]
Your version of Excel allows you to read this threaded comment; however, any edits to it will get removed if the file is opened in a newer version of Excel. Learn more: https://go.microsoft.com/fwlink/?linkid=870924
Comment:
    We believe this is Camilo Diaz as listed on Newway timesheet.</t>
      </text>
    </comment>
    <comment ref="A341" authorId="27" shapeId="0" xr:uid="{BE2A2E52-8187-4B43-B1A5-4813580537E9}">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t>
      </text>
    </comment>
    <comment ref="A348" authorId="28" shapeId="0" xr:uid="{668D334D-F162-4806-9083-3A77C71D8817}">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M355" authorId="29" shapeId="0" xr:uid="{D13C0472-BC6A-4F3E-A095-DBF39C829BEF}">
      <text>
        <t>[Threaded comment]
Your version of Excel allows you to read this threaded comment; however, any edits to it will get removed if the file is opened in a newer version of Excel. Learn more: https://go.microsoft.com/fwlink/?linkid=870924
Comment:
    Hourly rate was $6.03, below the minimum compensation for 2019.</t>
      </text>
    </comment>
    <comment ref="M356" authorId="30" shapeId="0" xr:uid="{24FF58DC-F593-4A9A-9E02-270B9210A9DA}">
      <text>
        <t>[Threaded comment]
Your version of Excel allows you to read this threaded comment; however, any edits to it will get removed if the file is opened in a newer version of Excel. Learn more: https://go.microsoft.com/fwlink/?linkid=870924
Comment:
    Changed frm $8.18 hourly rate, to minimum compensation for 2019.</t>
      </text>
    </comment>
    <comment ref="A364" authorId="31" shapeId="0" xr:uid="{32152F1C-5F49-48FE-A738-5D76122666D9}">
      <text>
        <t>[Threaded comment]
Your version of Excel allows you to read this threaded comment; however, any edits to it will get removed if the file is opened in a newer version of Excel. Learn more: https://go.microsoft.com/fwlink/?linkid=870924
Comment:
    Not on Baja payroll and no Baja paystubs. This pay period and next.</t>
      </text>
    </comment>
    <comment ref="A366" authorId="32" shapeId="0" xr:uid="{71E694A5-8DBA-4ACB-A831-EB327BFF753B}">
      <text>
        <t>[Threaded comment]
Your version of Excel allows you to read this threaded comment; however, any edits to it will get removed if the file is opened in a newer version of Excel. Learn more: https://go.microsoft.com/fwlink/?linkid=870924
Comment:
    Not listed on Newway timesheet</t>
      </text>
    </comment>
    <comment ref="F371" authorId="33" shapeId="0" xr:uid="{02DCB983-A7A3-42F9-94DB-47C9BF6F66D9}">
      <text>
        <t>[Threaded comment]
Your version of Excel allows you to read this threaded comment; however, any edits to it will get removed if the file is opened in a newer version of Excel. Learn more: https://go.microsoft.com/fwlink/?linkid=870924
Comment:
    Minus $1000 loan.</t>
      </text>
    </comment>
    <comment ref="A383" authorId="34" shapeId="0" xr:uid="{83EB11F0-B2D4-4CBA-A53C-77574138A0E8}">
      <text>
        <t>[Threaded comment]
Your version of Excel allows you to read this threaded comment; however, any edits to it will get removed if the file is opened in a newer version of Excel. Learn more: https://go.microsoft.com/fwlink/?linkid=870924
Comment:
    Next 4 weeks not listed on Newway timesheet</t>
      </text>
    </comment>
    <comment ref="A399" authorId="35" shapeId="0" xr:uid="{37FE1454-0C41-4C45-8393-6DDB6CC03025}">
      <text>
        <t>[Threaded comment]
Your version of Excel allows you to read this threaded comment; however, any edits to it will get removed if the file is opened in a newer version of Excel. Learn more: https://go.microsoft.com/fwlink/?linkid=870924
Comment:
    Not listed on Newway timesheet next 5 weeks</t>
      </text>
    </comment>
    <comment ref="A405" authorId="36" shapeId="0" xr:uid="{61EB42E1-A5EB-4E0D-9C9F-EBA98D0F45CB}">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t>
      </text>
    </comment>
    <comment ref="F411" authorId="37" shapeId="0" xr:uid="{97F744B7-5941-4A1A-86D8-011BE966EF8C}">
      <text>
        <t>[Threaded comment]
Your version of Excel allows you to read this threaded comment; however, any edits to it will get removed if the file is opened in a newer version of Excel. Learn more: https://go.microsoft.com/fwlink/?linkid=870924
Comment:
    Minus $1000 loan</t>
      </text>
    </comment>
    <comment ref="A415" authorId="38" shapeId="0" xr:uid="{C6B59090-633C-4758-98E3-26F4151CF611}">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t>
      </text>
    </comment>
    <comment ref="A416" authorId="39" shapeId="0" xr:uid="{BBBEF6F3-733C-460F-9483-5DE596F5D0D1}">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 All highlighted rows.</t>
      </text>
    </comment>
    <comment ref="A452" authorId="40" shapeId="0" xr:uid="{72A292B4-1CA0-4065-A605-26B2601693AA}">
      <text>
        <t>[Threaded comment]
Your version of Excel allows you to read this threaded comment; however, any edits to it will get removed if the file is opened in a newer version of Excel. Learn more: https://go.microsoft.com/fwlink/?linkid=870924
Comment:
    No paystubs and not listed on Baja payroll only on Newway timesheet.</t>
      </text>
    </comment>
    <comment ref="A463" authorId="41" shapeId="0" xr:uid="{5316D00C-DDEC-484B-98CD-EC8305FAFD0A}">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465" authorId="42" shapeId="0" xr:uid="{173233E2-87B2-4153-A134-2573D7C53C7A}">
      <text>
        <t>[Threaded comment]
Your version of Excel allows you to read this threaded comment; however, any edits to it will get removed if the file is opened in a newer version of Excel. Learn more: https://go.microsoft.com/fwlink/?linkid=870924
Comment:
    Next 3 weeks not on Newway timesheet</t>
      </text>
    </comment>
    <comment ref="A472" authorId="43" shapeId="0" xr:uid="{AA983BB5-F04F-4D13-8376-11C47182B126}">
      <text>
        <t>[Threaded comment]
Your version of Excel allows you to read this threaded comment; however, any edits to it will get removed if the file is opened in a newer version of Excel. Learn more: https://go.microsoft.com/fwlink/?linkid=870924
Comment:
    This week and next not on Newway timesheet</t>
      </text>
    </comment>
    <comment ref="A476" authorId="44" shapeId="0" xr:uid="{8293950A-FFA1-4E22-A9A7-4F7304EFA70A}">
      <text>
        <t>[Threaded comment]
Your version of Excel allows you to read this threaded comment; however, any edits to it will get removed if the file is opened in a newer version of Excel. Learn more: https://go.microsoft.com/fwlink/?linkid=870924
Comment:
    All highlighted rows are not on Newway timesheet for Ruben</t>
      </text>
    </comment>
    <comment ref="F506" authorId="45" shapeId="0" xr:uid="{B3D3EBB2-29C7-4593-A5EF-C1E07E60CE62}">
      <text>
        <t>[Threaded comment]
Your version of Excel allows you to read this threaded comment; however, any edits to it will get removed if the file is opened in a newer version of Excel. Learn more: https://go.microsoft.com/fwlink/?linkid=870924
Comment:
    Includes 1.5 of OT</t>
      </text>
    </comment>
    <comment ref="A508" authorId="46" shapeId="0" xr:uid="{52DBB879-9CB8-43DB-A092-B10D85B300AC}">
      <text>
        <t>[Threaded comment]
Your version of Excel allows you to read this threaded comment; however, any edits to it will get removed if the file is opened in a newer version of Excel. Learn more: https://go.microsoft.com/fwlink/?linkid=870924
Comment:
    This and the next date not listed on Newway timesheet</t>
      </text>
    </comment>
    <comment ref="F511" authorId="47" shapeId="0" xr:uid="{B882DC96-61FE-4A80-AD7A-6CCA67228843}">
      <text>
        <t>[Threaded comment]
Your version of Excel allows you to read this threaded comment; however, any edits to it will get removed if the file is opened in a newer version of Excel. Learn more: https://go.microsoft.com/fwlink/?linkid=870924
Comment:
    Includes 29.50 of OT</t>
      </text>
    </comment>
    <comment ref="M534" authorId="48" shapeId="0" xr:uid="{EB6A3AAF-47F7-4778-9CEF-BE2D902A8028}">
      <text>
        <t>[Threaded comment]
Your version of Excel allows you to read this threaded comment; however, any edits to it will get removed if the file is opened in a newer version of Excel. Learn more: https://go.microsoft.com/fwlink/?linkid=870924
Comment:
    adjusted from $9.75 hourly rate, to MW compensation for 2019.</t>
      </text>
    </comment>
    <comment ref="M541" authorId="49" shapeId="0" xr:uid="{2C04E359-F666-4116-8138-FC6759A3D6A8}">
      <text>
        <t>[Threaded comment]
Your version of Excel allows you to read this threaded comment; however, any edits to it will get removed if the file is opened in a newer version of Excel. Learn more: https://go.microsoft.com/fwlink/?linkid=870924
Comment:
    adjusted from $6.93 hourly rate to MW compensation for 2019.</t>
      </text>
    </comment>
    <comment ref="F544" authorId="50" shapeId="0" xr:uid="{52D306BA-E778-4400-9DFC-771478C4453E}">
      <text>
        <t>[Threaded comment]
Your version of Excel allows you to read this threaded comment; however, any edits to it will get removed if the file is opened in a newer version of Excel. Learn more: https://go.microsoft.com/fwlink/?linkid=870924
Comment:
    Also $614 "loan to pay" not added</t>
      </text>
    </comment>
    <comment ref="F551" authorId="51" shapeId="0" xr:uid="{7E93A3E5-0217-4593-9A34-94B5FE0AF4A2}">
      <text>
        <t>[Threaded comment]
Your version of Excel allows you to read this threaded comment; however, any edits to it will get removed if the file is opened in a newer version of Excel. Learn more: https://go.microsoft.com/fwlink/?linkid=870924
Comment:
    Includes 16 hours of OT. Also didn't add $96 for reimbursments.</t>
      </text>
    </comment>
    <comment ref="A553" authorId="52" shapeId="0" xr:uid="{0D340AA1-CBC8-407C-8F50-B431665F9A23}">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F556" authorId="53" shapeId="0" xr:uid="{83976ADE-29C2-4397-8E2F-3AD06851D0D8}">
      <text>
        <t>[Threaded comment]
Your version of Excel allows you to read this threaded comment; however, any edits to it will get removed if the file is opened in a newer version of Excel. Learn more: https://go.microsoft.com/fwlink/?linkid=870924
Comment:
    Includes 6.5 hours of OT. Did not include $215 of reimbursement.</t>
      </text>
    </comment>
    <comment ref="F567" authorId="54" shapeId="0" xr:uid="{7EE2254F-2B7E-473A-871D-393450DB856C}">
      <text>
        <t>[Threaded comment]
Your version of Excel allows you to read this threaded comment; however, any edits to it will get removed if the file is opened in a newer version of Excel. Learn more: https://go.microsoft.com/fwlink/?linkid=870924
Comment:
    Includes 4 hours of OT</t>
      </text>
    </comment>
    <comment ref="A569" authorId="55" shapeId="0" xr:uid="{CBA7C98B-AFAC-4C05-8C8E-F5967DF06517}">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D569" authorId="56" shapeId="0" xr:uid="{C1E22336-6B39-43EB-A765-DFCD8612773C}">
      <text>
        <t>[Threaded comment]
Your version of Excel allows you to read this threaded comment; however, any edits to it will get removed if the file is opened in a newer version of Excel. Learn more: https://go.microsoft.com/fwlink/?linkid=870924
Comment:
    Not listed on Newway timesheet (next week too)</t>
      </text>
    </comment>
    <comment ref="A576" authorId="57" shapeId="0" xr:uid="{19B17828-D1FD-4EC7-9F0A-165D7B483CF1}">
      <text>
        <t>[Threaded comment]
Your version of Excel allows you to read this threaded comment; however, any edits to it will get removed if the file is opened in a newer version of Excel. Learn more: https://go.microsoft.com/fwlink/?linkid=870924
Comment:
    All highlighted rows not on Newway timesheet</t>
      </text>
    </comment>
    <comment ref="F579" authorId="58" shapeId="0" xr:uid="{F304B5E4-394F-4920-99FA-AEA9A298F894}">
      <text>
        <t>[Threaded comment]
Your version of Excel allows you to read this threaded comment; however, any edits to it will get removed if the file is opened in a newer version of Excel. Learn more: https://go.microsoft.com/fwlink/?linkid=870924
Comment:
    Includes 4.5 of OT</t>
      </text>
    </comment>
    <comment ref="F584" authorId="59" shapeId="0" xr:uid="{F18F7E8E-DE7E-4CB8-981E-78F169FB20B8}">
      <text>
        <t>[Threaded comment]
Your version of Excel allows you to read this threaded comment; however, any edits to it will get removed if the file is opened in a newer version of Excel. Learn more: https://go.microsoft.com/fwlink/?linkid=870924
Comment:
    Includes 16.50 of OT</t>
      </text>
    </comment>
    <comment ref="F615" authorId="60" shapeId="0" xr:uid="{9E8511C6-7AE3-447B-B21F-AEDC139E307C}">
      <text>
        <t>[Threaded comment]
Your version of Excel allows you to read this threaded comment; however, any edits to it will get removed if the file is opened in a newer version of Excel. Learn more: https://go.microsoft.com/fwlink/?linkid=870924
Comment:
    Minus $1700 remibursement</t>
      </text>
    </comment>
    <comment ref="A617" authorId="61" shapeId="0" xr:uid="{027DAC67-2A73-4649-893B-49F480660043}">
      <text>
        <t>[Threaded comment]
Your version of Excel allows you to read this threaded comment; however, any edits to it will get removed if the file is opened in a newer version of Excel. Learn more: https://go.microsoft.com/fwlink/?linkid=870924
Comment:
    Not listed on Newway timesheet</t>
      </text>
    </comment>
    <comment ref="A618" authorId="62" shapeId="0" xr:uid="{1B591B2C-5A7C-4B21-B2BD-FB3AB4807DA1}">
      <text>
        <t>[Threaded comment]
Your version of Excel allows you to read this threaded comment; however, any edits to it will get removed if the file is opened in a newer version of Excel. Learn more: https://go.microsoft.com/fwlink/?linkid=870924
Comment:
    Not listed on Newway timesheet</t>
      </text>
    </comment>
    <comment ref="A624" authorId="63" shapeId="0" xr:uid="{0E8843FF-C76A-480B-B11F-07DA88A73AB2}">
      <text>
        <t>[Threaded comment]
Your version of Excel allows you to read this threaded comment; however, any edits to it will get removed if the file is opened in a newer version of Excel. Learn more: https://go.microsoft.com/fwlink/?linkid=870924
Comment:
    Next two weeks not on Newway timesheet</t>
      </text>
    </comment>
    <comment ref="F639" authorId="64" shapeId="0" xr:uid="{387678C8-6C36-41EF-9C11-A167FA1CA157}">
      <text>
        <t>[Threaded comment]
Your version of Excel allows you to read this threaded comment; however, any edits to it will get removed if the file is opened in a newer version of Excel. Learn more: https://go.microsoft.com/fwlink/?linkid=870924
Comment:
    Includes 6 hours of OT</t>
      </text>
    </comment>
    <comment ref="A641" authorId="65" shapeId="0" xr:uid="{1886C127-1623-4240-94DF-8BC7EC7F0056}">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42" authorId="66" shapeId="0" xr:uid="{72ED19D0-B8C6-4A9C-91A3-FCE8AFD72657}">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43" authorId="67" shapeId="0" xr:uid="{53A93193-9170-413A-85C7-4091FFD08318}">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D645" authorId="68" shapeId="0" xr:uid="{4E7B9A18-F487-4668-9BBF-98BA47ADB95C}">
      <text>
        <t>[Threaded comment]
Your version of Excel allows you to read this threaded comment; however, any edits to it will get removed if the file is opened in a newer version of Excel. Learn more: https://go.microsoft.com/fwlink/?linkid=870924
Comment:
    25 hours one week, 46 hours next week. So owed 6 hours of OT.</t>
      </text>
    </comment>
    <comment ref="D647" authorId="69" shapeId="0" xr:uid="{7BF2B37D-B18F-47DC-B79D-523EC8D259AF}">
      <text>
        <t>[Threaded comment]
Your version of Excel allows you to read this threaded comment; however, any edits to it will get removed if the file is opened in a newer version of Excel. Learn more: https://go.microsoft.com/fwlink/?linkid=870924
Comment:
    37.5 hours one week and 58.5 the next week. So owed 18.5 hours of OT</t>
      </text>
    </comment>
    <comment ref="F650" authorId="70" shapeId="0" xr:uid="{BB3119DB-6BF9-4EE1-B5ED-C175F28EE8C1}">
      <text>
        <t>[Threaded comment]
Your version of Excel allows you to read this threaded comment; however, any edits to it will get removed if the file is opened in a newer version of Excel. Learn more: https://go.microsoft.com/fwlink/?linkid=870924
Comment:
    Includes 5 hours of OT</t>
      </text>
    </comment>
    <comment ref="A651" authorId="71" shapeId="0" xr:uid="{FD759DCD-8D0F-4682-9F66-207F7F58B580}">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52" authorId="72" shapeId="0" xr:uid="{F4EF9179-EFA6-4A7E-AF60-8C2B58DA80EB}">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53" authorId="73" shapeId="0" xr:uid="{85750655-24ED-4511-BC86-ADE3CAC2403D}">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F655" authorId="74" shapeId="0" xr:uid="{EEFD1BC8-8DCE-4BAB-A529-3990BD8590D9}">
      <text>
        <t>[Threaded comment]
Your version of Excel allows you to read this threaded comment; however, any edits to it will get removed if the file is opened in a newer version of Excel. Learn more: https://go.microsoft.com/fwlink/?linkid=870924
Comment:
    Includes 16 hours of OT.</t>
      </text>
    </comment>
    <comment ref="D656" authorId="75" shapeId="0" xr:uid="{94BAEB8E-EFF8-4C70-B8A2-BD418082D58A}">
      <text>
        <t>[Threaded comment]
Your version of Excel allows you to read this threaded comment; however, any edits to it will get removed if the file is opened in a newer version of Excel. Learn more: https://go.microsoft.com/fwlink/?linkid=870924
Comment:
    Owed 12 hours of OT</t>
      </text>
    </comment>
    <comment ref="D658" authorId="76" shapeId="0" xr:uid="{61789783-E475-4F1A-B0C1-B3574E6F81AD}">
      <text>
        <t>[Threaded comment]
Your version of Excel allows you to read this threaded comment; however, any edits to it will get removed if the file is opened in a newer version of Excel. Learn more: https://go.microsoft.com/fwlink/?linkid=870924
Comment:
    No OT owed</t>
      </text>
    </comment>
    <comment ref="F662" authorId="77" shapeId="0" xr:uid="{D9E2EB7C-83DD-4FB1-A08F-983FC9A99DC3}">
      <text>
        <t>[Threaded comment]
Your version of Excel allows you to read this threaded comment; however, any edits to it will get removed if the file is opened in a newer version of Excel. Learn more: https://go.microsoft.com/fwlink/?linkid=870924
Comment:
    Includes 4 hours of OT</t>
      </text>
    </comment>
    <comment ref="A664" authorId="78" shapeId="0" xr:uid="{2F7D8E47-CFBD-4468-8E6A-D88BEFBFF8C1}">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65" authorId="79" shapeId="0" xr:uid="{B2B48409-7D5C-4E24-83EC-424D9DCBBFA3}">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82" authorId="80" shapeId="0" xr:uid="{755ED544-E464-4C87-B986-7EEF89691F80}">
      <text>
        <t>[Threaded comment]
Your version of Excel allows you to read this threaded comment; however, any edits to it will get removed if the file is opened in a newer version of Excel. Learn more: https://go.microsoft.com/fwlink/?linkid=870924
Comment:
    Not on Newway timesheet next 6 weeks</t>
      </text>
    </comment>
    <comment ref="F682" authorId="81" shapeId="0" xr:uid="{88877298-E06B-46A0-ADEA-CE93244C95AB}">
      <text>
        <t>[Threaded comment]
Your version of Excel allows you to read this threaded comment; however, any edits to it will get removed if the file is opened in a newer version of Excel. Learn more: https://go.microsoft.com/fwlink/?linkid=870924
Comment:
    Includes $150 reimbursement</t>
      </text>
    </comment>
    <comment ref="F683" authorId="82" shapeId="0" xr:uid="{7BF37AE1-A489-468A-885F-5F2F00BDF477}">
      <text>
        <t>[Threaded comment]
Your version of Excel allows you to read this threaded comment; however, any edits to it will get removed if the file is opened in a newer version of Excel. Learn more: https://go.microsoft.com/fwlink/?linkid=870924
Comment:
    Includes $150 reimbursement</t>
      </text>
    </comment>
    <comment ref="F684" authorId="83" shapeId="0" xr:uid="{09DB813B-45DC-4FE6-9BBA-D03E2CB720FF}">
      <text>
        <t>[Threaded comment]
Your version of Excel allows you to read this threaded comment; however, any edits to it will get removed if the file is opened in a newer version of Excel. Learn more: https://go.microsoft.com/fwlink/?linkid=870924
Comment:
    Includes $150 reimbursement</t>
      </text>
    </comment>
    <comment ref="F687" authorId="84" shapeId="0" xr:uid="{B8B9FB91-6215-4B92-8FD4-640745FAC686}">
      <text>
        <t>[Threaded comment]
Your version of Excel allows you to read this threaded comment; however, any edits to it will get removed if the file is opened in a newer version of Excel. Learn more: https://go.microsoft.com/fwlink/?linkid=870924
Comment:
    Includes $180 reimbursement</t>
      </text>
    </comment>
    <comment ref="F688" authorId="85" shapeId="0" xr:uid="{2388795F-E1E9-4B4F-8296-DC755415AF09}">
      <text>
        <t>[Threaded comment]
Your version of Excel allows you to read this threaded comment; however, any edits to it will get removed if the file is opened in a newer version of Excel. Learn more: https://go.microsoft.com/fwlink/?linkid=870924
Comment:
    Includes $1267.50 in OT and $468 in reimbursement</t>
      </text>
    </comment>
    <comment ref="A694" authorId="86" shapeId="0" xr:uid="{84936505-C3CC-45A1-A13F-E04AB86F415D}">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95" authorId="87" shapeId="0" xr:uid="{F9D7AC5C-5D4C-4058-92C0-BD1D8D2FFAA8}">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696" authorId="88" shapeId="0" xr:uid="{891AC789-E5A0-4589-95FC-E6CCF07952C1}">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701" authorId="89" shapeId="0" xr:uid="{3F4956EC-B8C6-4F1A-AE07-CBB0EC3BA94A}">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725" authorId="90" shapeId="0" xr:uid="{0810D596-47C2-4DCD-9591-22B7AFE28B97}">
      <text>
        <t>[Threaded comment]
Your version of Excel allows you to read this threaded comment; however, any edits to it will get removed if the file is opened in a newer version of Excel. Learn more: https://go.microsoft.com/fwlink/?linkid=870924
Comment:
    Next 4 weeks not on Newway timesheet</t>
      </text>
    </comment>
    <comment ref="F726" authorId="91" shapeId="0" xr:uid="{2F4B7336-067A-41F6-80B1-5B29616FF7CE}">
      <text>
        <t>[Threaded comment]
Your version of Excel allows you to read this threaded comment; however, any edits to it will get removed if the file is opened in a newer version of Excel. Learn more: https://go.microsoft.com/fwlink/?linkid=870924
Comment:
    Loan to pay</t>
      </text>
    </comment>
    <comment ref="F728" authorId="92" shapeId="0" xr:uid="{A95200BC-C36E-4E2E-B1D7-12007C8F9564}">
      <text>
        <t>[Threaded comment]
Your version of Excel allows you to read this threaded comment; however, any edits to it will get removed if the file is opened in a newer version of Excel. Learn more: https://go.microsoft.com/fwlink/?linkid=870924
Comment:
    Loan deduction</t>
      </text>
    </comment>
    <comment ref="M734" authorId="93" shapeId="0" xr:uid="{A26615A2-AE89-45DA-B961-2D56EF73A4D7}">
      <text>
        <t>[Threaded comment]
Your version of Excel allows you to read this threaded comment; however, any edits to it will get removed if the file is opened in a newer version of Excel. Learn more: https://go.microsoft.com/fwlink/?linkid=870924
Comment:
    Adjusted from $11/hr, to MW compensation of 2019.</t>
      </text>
    </comment>
    <comment ref="F744" authorId="94" shapeId="0" xr:uid="{A7D18EBB-92F5-4E96-918C-EB004833F9CA}">
      <text>
        <t>[Threaded comment]
Your version of Excel allows you to read this threaded comment; however, any edits to it will get removed if the file is opened in a newer version of Excel. Learn more: https://go.microsoft.com/fwlink/?linkid=870924
Comment:
    Includes 4 hours of OT and $15 reimbursement</t>
      </text>
    </comment>
    <comment ref="A746" authorId="95" shapeId="0" xr:uid="{427EC4D4-9B21-49D8-B833-557E989CA088}">
      <text>
        <t>[Threaded comment]
Your version of Excel allows you to read this threaded comment; however, any edits to it will get removed if the file is opened in a newer version of Excel. Learn more: https://go.microsoft.com/fwlink/?linkid=870924
Comment:
    Next 3 weeks not on Newway timesheet</t>
      </text>
    </comment>
    <comment ref="F747" authorId="96" shapeId="0" xr:uid="{A49E26A1-D43A-4039-BDFB-A909C49D364D}">
      <text>
        <t>[Threaded comment]
Your version of Excel allows you to read this threaded comment; however, any edits to it will get removed if the file is opened in a newer version of Excel. Learn more: https://go.microsoft.com/fwlink/?linkid=870924
Comment:
    Includes $50 reimbursement</t>
      </text>
    </comment>
    <comment ref="F749" authorId="97" shapeId="0" xr:uid="{95536D60-056A-414F-B330-8500550130C7}">
      <text>
        <t>[Threaded comment]
Your version of Excel allows you to read this threaded comment; however, any edits to it will get removed if the file is opened in a newer version of Excel. Learn more: https://go.microsoft.com/fwlink/?linkid=870924
Comment:
    Includes 7.5 hours of OT</t>
      </text>
    </comment>
    <comment ref="F756" authorId="98" shapeId="0" xr:uid="{5B8D9E85-1CF1-4718-ADBE-AB64AD2E3CB3}">
      <text>
        <t>[Threaded comment]
Your version of Excel allows you to read this threaded comment; however, any edits to it will get removed if the file is opened in a newer version of Excel. Learn more: https://go.microsoft.com/fwlink/?linkid=870924
Comment:
    Includes 4 hours of OT</t>
      </text>
    </comment>
    <comment ref="A758" authorId="99" shapeId="0" xr:uid="{E3EA73A9-7AAA-447A-93C6-6E4B0EE19E7A}">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759" authorId="100" shapeId="0" xr:uid="{2DF66999-9E68-4B33-A32C-03C031C46D47}">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N791" authorId="101" shapeId="0" xr:uid="{55D56B22-40F5-442C-8471-497EF5113E80}">
      <text>
        <t>[Threaded comment]
Your version of Excel allows you to read this threaded comment; however, any edits to it will get removed if the file is opened in a newer version of Excel. Learn more: https://go.microsoft.com/fwlink/?linkid=870924
Comment:
    Check paystubs. $3608.32 was bonus but not ending on the sam pay week end.</t>
      </text>
    </comment>
    <comment ref="F792" authorId="102" shapeId="0" xr:uid="{4951A667-22B2-4A22-BCE9-B8746195A0A5}">
      <text>
        <t>[Threaded comment]
Your version of Excel allows you to read this threaded comment; however, any edits to it will get removed if the file is opened in a newer version of Excel. Learn more: https://go.microsoft.com/fwlink/?linkid=870924
Comment:
    Includes 6 hours of OT. Includes $1000 reimbursment</t>
      </text>
    </comment>
    <comment ref="A794" authorId="103" shapeId="0" xr:uid="{29395429-F8BB-4324-86CE-7F44FAF299AF}">
      <text>
        <t>[Threaded comment]
Your version of Excel allows you to read this threaded comment; however, any edits to it will get removed if the file is opened in a newer version of Excel. Learn more: https://go.microsoft.com/fwlink/?linkid=870924
Comment:
    Next 3 weeks missing from Newway paystub</t>
      </text>
    </comment>
    <comment ref="F797" authorId="104" shapeId="0" xr:uid="{FB2B82D6-1475-4179-9DE5-3CCB8F0CC644}">
      <text>
        <t>[Threaded comment]
Your version of Excel allows you to read this threaded comment; however, any edits to it will get removed if the file is opened in a newer version of Excel. Learn more: https://go.microsoft.com/fwlink/?linkid=870924
Comment:
    Includes 7.5 hours of OT.</t>
      </text>
    </comment>
    <comment ref="A798" authorId="105" shapeId="0" xr:uid="{CA1FB850-7C79-40AE-8963-60A3DEA3FFEC}">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809" authorId="106" shapeId="0" xr:uid="{FEA36BA9-07A0-4F64-AD8D-E8D7797E54A0}">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 ref="A831" authorId="107" shapeId="0" xr:uid="{E1188C4F-B9B8-43E0-8731-148F3D3ED279}">
      <text>
        <t>[Threaded comment]
Your version of Excel allows you to read this threaded comment; however, any edits to it will get removed if the file is opened in a newer version of Excel. Learn more: https://go.microsoft.com/fwlink/?linkid=870924
Comment:
    This week and next not on Newway timesheet</t>
      </text>
    </comment>
    <comment ref="F849" authorId="108" shapeId="0" xr:uid="{90178667-581C-4B55-BDE6-E0265EFD66C2}">
      <text>
        <t>[Threaded comment]
Your version of Excel allows you to read this threaded comment; however, any edits to it will get removed if the file is opened in a newer version of Excel. Learn more: https://go.microsoft.com/fwlink/?linkid=870924
Comment:
    Includes 4 hours of OT</t>
      </text>
    </comment>
    <comment ref="A858" authorId="109" shapeId="0" xr:uid="{FBB1786A-E191-4B0C-81FC-ECBE1D6F07C7}">
      <text>
        <t>[Threaded comment]
Your version of Excel allows you to read this threaded comment; however, any edits to it will get removed if the file is opened in a newer version of Excel. Learn more: https://go.microsoft.com/fwlink/?linkid=870924
Comment:
    All highlighted rows not on Newway timesheet</t>
      </text>
    </comment>
    <comment ref="F889" authorId="110" shapeId="0" xr:uid="{72540E54-CB50-4842-8382-D50553258936}">
      <text>
        <t>[Threaded comment]
Your version of Excel allows you to read this threaded comment; however, any edits to it will get removed if the file is opened in a newer version of Excel. Learn more: https://go.microsoft.com/fwlink/?linkid=870924
Comment:
    Includes $1500 loan</t>
      </text>
    </comment>
    <comment ref="F894" authorId="111" shapeId="0" xr:uid="{5A9237E6-ECD8-4BF2-9F76-2500585A0EB1}">
      <text>
        <t>[Threaded comment]
Your version of Excel allows you to read this threaded comment; however, any edits to it will get removed if the file is opened in a newer version of Excel. Learn more: https://go.microsoft.com/fwlink/?linkid=870924
Comment:
    Includes 7 hours of OT</t>
      </text>
    </comment>
    <comment ref="A896" authorId="112" shapeId="0" xr:uid="{C18DAFC2-04DD-4FB3-9381-8778237E4182}">
      <text>
        <t>[Threaded comment]
Your version of Excel allows you to read this threaded comment; however, any edits to it will get removed if the file is opened in a newer version of Excel. Learn more: https://go.microsoft.com/fwlink/?linkid=870924
Comment:
    Not on Newway timesheet. Also next week</t>
      </text>
    </comment>
    <comment ref="F899" authorId="113" shapeId="0" xr:uid="{9E4C7478-F533-4EA1-8051-84CB0B1466A7}">
      <text>
        <t>[Threaded comment]
Your version of Excel allows you to read this threaded comment; however, any edits to it will get removed if the file is opened in a newer version of Excel. Learn more: https://go.microsoft.com/fwlink/?linkid=870924
Comment:
    Includes 29.50 of OT and $194.15 of reimbursement</t>
      </text>
    </comment>
    <comment ref="F904" authorId="114" shapeId="0" xr:uid="{79A05FC6-CD61-4983-8977-B24BEAB63333}">
      <text>
        <t>[Threaded comment]
Your version of Excel allows you to read this threaded comment; however, any edits to it will get removed if the file is opened in a newer version of Excel. Learn more: https://go.microsoft.com/fwlink/?linkid=870924
Comment:
    Includes 4 hours of OT</t>
      </text>
    </comment>
    <comment ref="A906" authorId="115" shapeId="0" xr:uid="{94EF9D10-1B7C-4A3D-AA76-A3C649EF2848}">
      <text>
        <t>[Threaded comment]
Your version of Excel allows you to read this threaded comment; however, any edits to it will get removed if the file is opened in a newer version of Excel. Learn more: https://go.microsoft.com/fwlink/?linkid=870924
Comment:
    Not on Newway timesheet</t>
      </text>
    </comment>
  </commentList>
</comments>
</file>

<file path=xl/sharedStrings.xml><?xml version="1.0" encoding="utf-8"?>
<sst xmlns="http://schemas.openxmlformats.org/spreadsheetml/2006/main" count="6559" uniqueCount="188">
  <si>
    <t>BAJA CONCRETE USA CORP</t>
  </si>
  <si>
    <t>Payroll Summary</t>
  </si>
  <si>
    <t>01/01/2017 - 06/12/2020</t>
  </si>
  <si>
    <t>Date</t>
  </si>
  <si>
    <t>Name</t>
  </si>
  <si>
    <t>Net Amt</t>
  </si>
  <si>
    <t>Hours</t>
  </si>
  <si>
    <t>Taxes Withheld</t>
  </si>
  <si>
    <t>Total Deductions</t>
  </si>
  <si>
    <t>Total Pay</t>
  </si>
  <si>
    <t>Employer Taxes</t>
  </si>
  <si>
    <t xml:space="preserve">Total Cost </t>
  </si>
  <si>
    <t xml:space="preserve">Check Num </t>
  </si>
  <si>
    <t>*Alejandro Fiol</t>
  </si>
  <si>
    <t>DD</t>
  </si>
  <si>
    <t>Totals</t>
  </si>
  <si>
    <t xml:space="preserve">Alejandro Foil </t>
  </si>
  <si>
    <t>*Alexis Hernandez</t>
  </si>
  <si>
    <t>*ANGEL M. GOMEZ CHAVEZ</t>
  </si>
  <si>
    <t>*Antonio Yevenes</t>
  </si>
  <si>
    <t>*Bulfrano Brito</t>
  </si>
  <si>
    <t>*Claudio I. Gamboa</t>
  </si>
  <si>
    <t>*Cristhian Pelaez Ruiz</t>
  </si>
  <si>
    <t>*Cristian Navejas</t>
  </si>
  <si>
    <t>*David Giron</t>
  </si>
  <si>
    <t>*David M. San Roman Mendo</t>
  </si>
  <si>
    <t>*Diego F. Rojas Villaseca</t>
  </si>
  <si>
    <t>*Edison R. Chimborazo Macas</t>
  </si>
  <si>
    <t>*Emeterio Collins Lopez</t>
  </si>
  <si>
    <t>*Evelio Alvarez Ruiz</t>
  </si>
  <si>
    <t>*Hector A. Cespedes Rivera</t>
  </si>
  <si>
    <t>*Israel Avila Gasca</t>
  </si>
  <si>
    <t>*Ivan A. Ponce</t>
  </si>
  <si>
    <t>*Jesus Ramon Castro Mendoza</t>
  </si>
  <si>
    <t>*John E. Hinestroz Diaz</t>
  </si>
  <si>
    <t>*JOSE R. VEGA HERNANDEZ</t>
  </si>
  <si>
    <t>*Josue F. Osuna Tallabas</t>
  </si>
  <si>
    <t>*Lucas M. Ayala</t>
  </si>
  <si>
    <t>*LUIS A. GARCIA</t>
  </si>
  <si>
    <t>*Luis G. Fernandez Rosas</t>
  </si>
  <si>
    <t>*Martin M. Ayala Ochoa</t>
  </si>
  <si>
    <t>*MATIAS I. CATALAN TORO</t>
  </si>
  <si>
    <t>*MIGUEL A. ARVIZU ESCAMILLA</t>
  </si>
  <si>
    <t>*Ramon A. Duenas Gomez</t>
  </si>
  <si>
    <t>*Ruben Gonzalez</t>
  </si>
  <si>
    <t>Claudia L. Penunuri</t>
  </si>
  <si>
    <t>Gabriel Rios Ortiz</t>
  </si>
  <si>
    <t>Gerardo . Valencia</t>
  </si>
  <si>
    <t>Gerardo Guzman Barragan</t>
  </si>
  <si>
    <t>Javier A. Alfaro Perez</t>
  </si>
  <si>
    <t>JOSE A. ESTRADA PARRA</t>
  </si>
  <si>
    <t>Jose Acosta Caballero</t>
  </si>
  <si>
    <t>Jose R. Alvarez Rodriguez</t>
  </si>
  <si>
    <t>Julio C. Caballero Pacheco</t>
  </si>
  <si>
    <t>Luis Andres Arriagada Aguilera</t>
  </si>
  <si>
    <t>Manuel Camus Valdes</t>
  </si>
  <si>
    <t>MARCO P. VILLASENOR HARBOLTE</t>
  </si>
  <si>
    <t>Miguel A. Alfaro Pinto</t>
  </si>
  <si>
    <t>NOE I. RIOS ESTRADA</t>
  </si>
  <si>
    <t>Patricio A. Fernandez Borquez</t>
  </si>
  <si>
    <t>Raul Benjamin Hirales Cuevas</t>
  </si>
  <si>
    <t>Roberto Hiralez Colin</t>
  </si>
  <si>
    <t>Roberto Lopez Hernandez</t>
  </si>
  <si>
    <t>Taxes
Withheld</t>
  </si>
  <si>
    <t>Total
Deductions</t>
  </si>
  <si>
    <t>Total
Pay</t>
  </si>
  <si>
    <t>Employer
Taxes</t>
  </si>
  <si>
    <t>Total
Cost</t>
  </si>
  <si>
    <t>Check
Num</t>
  </si>
  <si>
    <t xml:space="preserve"> </t>
  </si>
  <si>
    <t xml:space="preserve">SUMMS </t>
  </si>
  <si>
    <t>Claudia Penunuri</t>
  </si>
  <si>
    <t>Minus Claudia Penunuri Salary</t>
  </si>
  <si>
    <t>Sum of Newway Hours</t>
  </si>
  <si>
    <t>Pay Date</t>
  </si>
  <si>
    <t>Total</t>
  </si>
  <si>
    <t>Alejandro Fiol</t>
  </si>
  <si>
    <t>x</t>
  </si>
  <si>
    <t>Alexis Hernandez</t>
  </si>
  <si>
    <t xml:space="preserve">Alfredo </t>
  </si>
  <si>
    <t>ANGEL M. GOMEZ CHAVEZ</t>
  </si>
  <si>
    <t>Antonio Yevenes</t>
  </si>
  <si>
    <t>Bulfrano Brito</t>
  </si>
  <si>
    <t>Chisthian Pelaez Ruiz</t>
  </si>
  <si>
    <t>Claudio I. Gamboa</t>
  </si>
  <si>
    <t>Cristhian Pelaez Ruiz</t>
  </si>
  <si>
    <t>Cristian Navejas</t>
  </si>
  <si>
    <t>David Giron</t>
  </si>
  <si>
    <t>David M. San Roman Mendo</t>
  </si>
  <si>
    <t>Diego F. Rojas Villaseca</t>
  </si>
  <si>
    <t>Emeterio Collins Lopez</t>
  </si>
  <si>
    <t>Evelio Alvarez Ruiz</t>
  </si>
  <si>
    <t>Fabian Asuna</t>
  </si>
  <si>
    <t xml:space="preserve">Fernando </t>
  </si>
  <si>
    <t>Gerardo Valencia</t>
  </si>
  <si>
    <t>Hector A. Cespedes Rivera</t>
  </si>
  <si>
    <t>Israel Avila Gasca</t>
  </si>
  <si>
    <t>Ivan A. Ponce</t>
  </si>
  <si>
    <t>Javier Pinto</t>
  </si>
  <si>
    <t>Jesus Ramon Castro Mendoza</t>
  </si>
  <si>
    <t>John E. Hinestroz Diaz</t>
  </si>
  <si>
    <t>JOSE R. VEGA HERNANDEZ</t>
  </si>
  <si>
    <t xml:space="preserve">Jose Rodriguez </t>
  </si>
  <si>
    <t>Josseth Santos</t>
  </si>
  <si>
    <t>Josue F. Osuna Tallabas</t>
  </si>
  <si>
    <t>Lucas M. Ayala</t>
  </si>
  <si>
    <t>LUIS A. GARCIA</t>
  </si>
  <si>
    <t xml:space="preserve">Luis Enrique </t>
  </si>
  <si>
    <t>Luis G. Fernandez Rosas</t>
  </si>
  <si>
    <t>Luis Ruelos</t>
  </si>
  <si>
    <t>Marco Alvarez</t>
  </si>
  <si>
    <t>Marco Santos</t>
  </si>
  <si>
    <t xml:space="preserve">Marcos Yevenes </t>
  </si>
  <si>
    <t>Martin M. Ayala Ochoa</t>
  </si>
  <si>
    <t>MATIAS I. CATALAN TORO</t>
  </si>
  <si>
    <t>MIGUEL A. ARVIZU ESCAMILLA</t>
  </si>
  <si>
    <t>Miguel Mendo</t>
  </si>
  <si>
    <t>Ramon A. Duenas Gomez</t>
  </si>
  <si>
    <t>Ruben Gonzalez</t>
  </si>
  <si>
    <t>Alberto Pimental</t>
  </si>
  <si>
    <t>Matias Rodriguez</t>
  </si>
  <si>
    <t>Grand Total</t>
  </si>
  <si>
    <t>This tab provides a key and notes related to the "OLS OT &amp; WT calcs" tab</t>
  </si>
  <si>
    <t>Key:</t>
  </si>
  <si>
    <t>Other notes</t>
  </si>
  <si>
    <t>Column A &amp; B highlights</t>
  </si>
  <si>
    <t>These names are listed on the Newway timesheet but not on the Baja payroll and/or paystubs.</t>
  </si>
  <si>
    <t>Some names differ. Eg Ivan A. Ponce on this sheet is Ivan Parra on the Baja Newway Invoice Hours Spreadsheet; John E. Hinestroz Diaz is likely Camilo Diaz</t>
  </si>
  <si>
    <t>Column D highlights</t>
  </si>
  <si>
    <t>Green highlights means hours listed on Newway timesheet, but not on Baja payroll and/or paystubs. Yellow highlights represent a deviation from actual hours worked either to include OT or hours worked less than 80 in a pay period. For example, you may see "54" but the actual hours in the pay period is 86. Meaning they could have worked maybe 54 hours in one week but 32 the next week. So they will be owed 14 hours of OT not 6.</t>
  </si>
  <si>
    <t>Column F highlights</t>
  </si>
  <si>
    <t>Highlights include either OT the RP paid (typically on 3/27) or the total figure is minus remibursemnt and/or loan.</t>
  </si>
  <si>
    <t>Column  M highlights</t>
  </si>
  <si>
    <t>All highlighted rows is an average of workers hourly rates. For each worker reference "Avg" pivot table. For workers where there was no reference of of an avg I took the avg of all the wokers hourly rates.</t>
  </si>
  <si>
    <t>Column O highlights</t>
  </si>
  <si>
    <t xml:space="preserve">These highighted rows just shows that these figures have been alterted based on one of the proceeding rows. </t>
  </si>
  <si>
    <t>Bonus</t>
  </si>
  <si>
    <t>Gross reg amount</t>
  </si>
  <si>
    <t>Hourly Rate</t>
  </si>
  <si>
    <t>Newway Hours</t>
  </si>
  <si>
    <t>Back Wages due</t>
  </si>
  <si>
    <t>Interest</t>
  </si>
  <si>
    <t>LD</t>
  </si>
  <si>
    <t>CP</t>
  </si>
  <si>
    <t>David GIron</t>
  </si>
  <si>
    <t>Employee Name</t>
  </si>
  <si>
    <t>Gross amounts</t>
  </si>
  <si>
    <t>Current hourly rate</t>
  </si>
  <si>
    <t>Adjusted Hourly rate</t>
  </si>
  <si>
    <t>Hours worked</t>
  </si>
  <si>
    <t>Back wages owed</t>
  </si>
  <si>
    <t xml:space="preserve">Interest </t>
  </si>
  <si>
    <t>Angel M. Gomez Chavez</t>
  </si>
  <si>
    <t>Column Labels</t>
  </si>
  <si>
    <t>2018</t>
  </si>
  <si>
    <t>2019</t>
  </si>
  <si>
    <t>2020</t>
  </si>
  <si>
    <t>(blank)</t>
  </si>
  <si>
    <t>(blank) Total</t>
  </si>
  <si>
    <t>Row Labels</t>
  </si>
  <si>
    <t>Hire date</t>
  </si>
  <si>
    <t>2018 hours worked</t>
  </si>
  <si>
    <t>2018 hourly rate</t>
  </si>
  <si>
    <t>Accrued Hours</t>
  </si>
  <si>
    <t>Payout Hours</t>
  </si>
  <si>
    <t>Payout</t>
  </si>
  <si>
    <t>Percent interest</t>
  </si>
  <si>
    <t>Interest due</t>
  </si>
  <si>
    <t>2019 hours worked</t>
  </si>
  <si>
    <t>2019 hourly rate</t>
  </si>
  <si>
    <t>Interest Due</t>
  </si>
  <si>
    <t>2020 hours worked</t>
  </si>
  <si>
    <t>2020 hourly rate</t>
  </si>
  <si>
    <t xml:space="preserve">LD </t>
  </si>
  <si>
    <t>Total interest due</t>
  </si>
  <si>
    <t>Total Remedy due</t>
  </si>
  <si>
    <t>Total amount due</t>
  </si>
  <si>
    <t>EE not included for PSST</t>
  </si>
  <si>
    <t xml:space="preserve">Matias Rodiguez </t>
  </si>
  <si>
    <t xml:space="preserve">Alex Hernandez </t>
  </si>
  <si>
    <t>Bulfano Brito</t>
  </si>
  <si>
    <t>Reuben Gonzalez</t>
  </si>
  <si>
    <t>Alfredo</t>
  </si>
  <si>
    <t>Javier Perez</t>
  </si>
  <si>
    <t>Gross amount</t>
  </si>
  <si>
    <t>Av. Hourly rate</t>
  </si>
  <si>
    <t>(Multiple Items)</t>
  </si>
  <si>
    <t>Average of Hourly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</si>
</sst>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sz val="18"/>
      <color indexed="55"/>
      <name val="Arial"/>
      <family val="2"/>
    </font>
    <font>
      <b/>
      <sz val="12"/>
      <name val="Arial"/>
      <family val="2"/>
    </font>
    <font>
      <sz val="9"/>
      <name val="Arial"/>
      <family val="2"/>
    </font>
    <font>
      <b/>
      <sz val="9"/>
      <name val="Arial"/>
      <family val="2"/>
    </font>
    <font>
      <b/>
      <sz val="11"/>
      <color theme="1"/>
      <name val="Calibri"/>
      <family val="2"/>
      <scheme val="minor"/>
    </font>
    <font>
      <b/>
      <sz val="14"/>
      <color theme="1"/>
      <name val="Calibri"/>
      <family val="2"/>
      <scheme val="minor"/>
    </font>
    <font>
      <sz val="11"/>
      <color rgb="FF000000"/>
      <name val="Calibri"/>
      <family val="2"/>
      <scheme val="minor"/>
    </font>
    <font>
      <b/>
      <u/>
      <sz val="11"/>
      <color theme="1"/>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rgb="FFF5F5F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C0C0C0"/>
      </left>
      <right style="thin">
        <color rgb="FFDDDDDD"/>
      </right>
      <top style="thin">
        <color rgb="FFC0C0C0"/>
      </top>
      <bottom style="thin">
        <color rgb="FFDDDDDD"/>
      </bottom>
      <diagonal/>
    </border>
    <border>
      <left style="thin">
        <color rgb="FFDDDDDD"/>
      </left>
      <right style="thin">
        <color rgb="FFDDDDDD"/>
      </right>
      <top style="thin">
        <color rgb="FFC0C0C0"/>
      </top>
      <bottom style="thin">
        <color rgb="FFDDDDDD"/>
      </bottom>
      <diagonal/>
    </border>
    <border>
      <left style="thin">
        <color rgb="FFDDDDDD"/>
      </left>
      <right style="thin">
        <color rgb="FFC0C0C0"/>
      </right>
      <top style="thin">
        <color rgb="FFC0C0C0"/>
      </top>
      <bottom style="thin">
        <color rgb="FFDDDDDD"/>
      </bottom>
      <diagonal/>
    </border>
    <border>
      <left style="thin">
        <color rgb="FFC0C0C0"/>
      </left>
      <right style="thin">
        <color rgb="FFDDDDDD"/>
      </right>
      <top style="thin">
        <color rgb="FFDDDDDD"/>
      </top>
      <bottom style="thin">
        <color rgb="FFC0C0C0"/>
      </bottom>
      <diagonal/>
    </border>
    <border>
      <left style="thin">
        <color rgb="FFDDDDDD"/>
      </left>
      <right style="thin">
        <color rgb="FFDDDDDD"/>
      </right>
      <top style="thin">
        <color rgb="FFDDDDDD"/>
      </top>
      <bottom style="thin">
        <color rgb="FFC0C0C0"/>
      </bottom>
      <diagonal/>
    </border>
    <border>
      <left style="thin">
        <color rgb="FFDDDDDD"/>
      </left>
      <right style="thin">
        <color rgb="FFC0C0C0"/>
      </right>
      <top style="thin">
        <color rgb="FFDDDDDD"/>
      </top>
      <bottom style="thin">
        <color rgb="FFC0C0C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0" fillId="0" borderId="0" xfId="0" applyAlignment="1">
      <alignment horizontal="left"/>
    </xf>
    <xf numFmtId="8" fontId="0" fillId="0" borderId="0" xfId="0" applyNumberFormat="1" applyAlignment="1">
      <alignment horizontal="left"/>
    </xf>
    <xf numFmtId="8" fontId="6" fillId="2" borderId="6" xfId="0" applyNumberFormat="1" applyFont="1" applyFill="1" applyBorder="1" applyAlignment="1">
      <alignment horizontal="left" vertical="top" wrapText="1"/>
    </xf>
    <xf numFmtId="14" fontId="0" fillId="0" borderId="0" xfId="0" applyNumberFormat="1" applyAlignment="1">
      <alignment horizontal="left"/>
    </xf>
    <xf numFmtId="0" fontId="0" fillId="3" borderId="0" xfId="0" applyFill="1" applyAlignment="1">
      <alignment horizontal="left"/>
    </xf>
    <xf numFmtId="0" fontId="0" fillId="3" borderId="0" xfId="0" applyFill="1"/>
    <xf numFmtId="4" fontId="6" fillId="2" borderId="6" xfId="0" applyNumberFormat="1" applyFont="1" applyFill="1" applyBorder="1" applyAlignment="1">
      <alignment horizontal="left" vertical="top" wrapText="1"/>
    </xf>
    <xf numFmtId="8" fontId="0" fillId="0" borderId="1" xfId="0" applyNumberFormat="1" applyBorder="1" applyAlignment="1">
      <alignment horizontal="right"/>
    </xf>
    <xf numFmtId="43" fontId="0" fillId="0" borderId="1" xfId="1" applyFont="1" applyBorder="1" applyAlignment="1">
      <alignment horizontal="right"/>
    </xf>
    <xf numFmtId="8" fontId="2" fillId="0" borderId="1" xfId="0" applyNumberFormat="1" applyFont="1" applyBorder="1" applyAlignment="1">
      <alignment horizontal="right"/>
    </xf>
    <xf numFmtId="8" fontId="0" fillId="3" borderId="1" xfId="0" applyNumberFormat="1" applyFill="1" applyBorder="1" applyAlignment="1">
      <alignment horizontal="right"/>
    </xf>
    <xf numFmtId="0" fontId="0" fillId="0" borderId="1" xfId="0" applyBorder="1" applyAlignment="1">
      <alignment horizontal="right"/>
    </xf>
    <xf numFmtId="43" fontId="2" fillId="0" borderId="1" xfId="1" applyFont="1" applyBorder="1" applyAlignment="1">
      <alignment horizontal="right"/>
    </xf>
    <xf numFmtId="44" fontId="2" fillId="0" borderId="1" xfId="2" applyFont="1" applyBorder="1" applyAlignment="1">
      <alignment horizontal="right"/>
    </xf>
    <xf numFmtId="14" fontId="0" fillId="4" borderId="0" xfId="0" applyNumberFormat="1" applyFill="1" applyAlignment="1">
      <alignment horizontal="left"/>
    </xf>
    <xf numFmtId="0" fontId="0" fillId="4" borderId="0" xfId="0" applyFill="1"/>
    <xf numFmtId="8" fontId="0" fillId="4" borderId="0" xfId="0" applyNumberFormat="1" applyFill="1" applyAlignment="1">
      <alignment horizontal="left"/>
    </xf>
    <xf numFmtId="0" fontId="0" fillId="4" borderId="0" xfId="0" applyFill="1" applyAlignment="1">
      <alignment horizontal="left"/>
    </xf>
    <xf numFmtId="8" fontId="0" fillId="5" borderId="0" xfId="0" applyNumberFormat="1" applyFill="1" applyAlignment="1">
      <alignment horizontal="left"/>
    </xf>
    <xf numFmtId="2" fontId="0" fillId="0" borderId="0" xfId="0" applyNumberFormat="1"/>
    <xf numFmtId="2" fontId="0" fillId="0" borderId="0" xfId="0" applyNumberFormat="1" applyAlignment="1">
      <alignment horizontal="center" vertical="center"/>
    </xf>
    <xf numFmtId="14" fontId="0" fillId="0" borderId="0" xfId="0" applyNumberFormat="1"/>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6" borderId="0" xfId="0"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8" fontId="0" fillId="0" borderId="0" xfId="0" applyNumberFormat="1" applyAlignment="1">
      <alignment horizontal="center" vertical="center"/>
    </xf>
    <xf numFmtId="164" fontId="0" fillId="0" borderId="0" xfId="0" applyNumberFormat="1" applyAlignment="1">
      <alignment horizontal="center" vertical="center"/>
    </xf>
    <xf numFmtId="0" fontId="0" fillId="5" borderId="0" xfId="0" applyFill="1" applyAlignment="1">
      <alignment horizontal="center" vertical="center"/>
    </xf>
    <xf numFmtId="14" fontId="0" fillId="5" borderId="0" xfId="0" applyNumberFormat="1" applyFill="1" applyAlignment="1">
      <alignment horizontal="center" vertical="center"/>
    </xf>
    <xf numFmtId="8" fontId="0" fillId="5" borderId="0" xfId="0" applyNumberFormat="1" applyFill="1" applyAlignment="1">
      <alignment horizontal="center" vertical="center"/>
    </xf>
    <xf numFmtId="0" fontId="0" fillId="7" borderId="0" xfId="0" applyFill="1" applyAlignment="1">
      <alignment horizontal="center" vertical="center"/>
    </xf>
    <xf numFmtId="164" fontId="0" fillId="0" borderId="0" xfId="0" applyNumberFormat="1" applyFill="1" applyAlignment="1">
      <alignment horizontal="center" vertical="center"/>
    </xf>
    <xf numFmtId="2" fontId="0" fillId="5" borderId="0" xfId="0" applyNumberFormat="1" applyFill="1" applyAlignment="1">
      <alignment horizontal="center" vertical="center"/>
    </xf>
    <xf numFmtId="8" fontId="0" fillId="0" borderId="0" xfId="0" applyNumberFormat="1" applyFill="1" applyAlignment="1">
      <alignment horizontal="center" vertical="center"/>
    </xf>
    <xf numFmtId="0" fontId="0" fillId="0" borderId="0" xfId="0" applyAlignment="1">
      <alignment horizontal="center" vertical="center" wrapText="1"/>
    </xf>
    <xf numFmtId="164" fontId="0" fillId="0" borderId="0" xfId="0" applyNumberFormat="1"/>
    <xf numFmtId="0" fontId="0" fillId="0" borderId="0" xfId="0" pivotButton="1"/>
    <xf numFmtId="8" fontId="7" fillId="0" borderId="0" xfId="0" applyNumberFormat="1" applyFont="1" applyAlignment="1">
      <alignment horizontal="center" vertical="center"/>
    </xf>
    <xf numFmtId="8" fontId="0" fillId="0" borderId="0" xfId="0" applyNumberFormat="1"/>
    <xf numFmtId="14" fontId="0" fillId="3" borderId="0" xfId="0" applyNumberFormat="1" applyFill="1" applyAlignment="1">
      <alignment horizontal="left"/>
    </xf>
    <xf numFmtId="164" fontId="0" fillId="5" borderId="0" xfId="0" applyNumberFormat="1" applyFill="1" applyAlignment="1">
      <alignment horizontal="center" vertical="center"/>
    </xf>
    <xf numFmtId="8" fontId="0" fillId="6" borderId="0" xfId="0" applyNumberFormat="1" applyFill="1" applyAlignment="1">
      <alignment horizontal="center" vertical="center"/>
    </xf>
    <xf numFmtId="164" fontId="0" fillId="6" borderId="0" xfId="0" applyNumberFormat="1" applyFill="1" applyAlignment="1">
      <alignment horizontal="center" vertical="center"/>
    </xf>
    <xf numFmtId="8" fontId="0" fillId="5" borderId="0" xfId="0" applyNumberFormat="1" applyFont="1" applyFill="1" applyAlignment="1">
      <alignment horizontal="center" vertical="center"/>
    </xf>
    <xf numFmtId="2" fontId="0" fillId="0" borderId="0" xfId="0" applyNumberFormat="1" applyFill="1" applyAlignment="1">
      <alignment horizontal="center" vertical="center"/>
    </xf>
    <xf numFmtId="164" fontId="7" fillId="0" borderId="0" xfId="0" applyNumberFormat="1" applyFont="1" applyAlignment="1">
      <alignment horizontal="center" vertical="center"/>
    </xf>
    <xf numFmtId="0" fontId="0" fillId="0" borderId="0" xfId="0" applyAlignment="1">
      <alignment horizontal="left" vertical="center" wrapText="1"/>
    </xf>
    <xf numFmtId="0" fontId="0" fillId="0" borderId="0" xfId="0" applyAlignment="1">
      <alignment wrapText="1"/>
    </xf>
    <xf numFmtId="0" fontId="2" fillId="0" borderId="0" xfId="0" applyFont="1"/>
    <xf numFmtId="0" fontId="0" fillId="0" borderId="0" xfId="0" applyNumberFormat="1"/>
    <xf numFmtId="0" fontId="7" fillId="0" borderId="0" xfId="0" applyFont="1" applyAlignment="1">
      <alignment horizontal="center" vertical="center"/>
    </xf>
    <xf numFmtId="44" fontId="0" fillId="0" borderId="0" xfId="2" applyFont="1"/>
    <xf numFmtId="39" fontId="0" fillId="0" borderId="0" xfId="2" applyNumberFormat="1" applyFont="1"/>
    <xf numFmtId="44" fontId="0" fillId="0" borderId="0" xfId="2" applyFont="1" applyAlignment="1">
      <alignment horizontal="center" vertical="center"/>
    </xf>
    <xf numFmtId="39" fontId="0" fillId="0" borderId="0" xfId="2" applyNumberFormat="1" applyFont="1" applyAlignment="1">
      <alignment horizontal="center" vertical="center"/>
    </xf>
    <xf numFmtId="2" fontId="0" fillId="0" borderId="0" xfId="2" applyNumberFormat="1" applyFont="1" applyAlignment="1">
      <alignment horizontal="center" vertical="center"/>
    </xf>
    <xf numFmtId="0" fontId="0" fillId="8" borderId="0" xfId="0" applyFill="1" applyAlignment="1">
      <alignment horizontal="center" vertical="center" wrapText="1"/>
    </xf>
    <xf numFmtId="0" fontId="0" fillId="9" borderId="0" xfId="0" applyFill="1" applyAlignment="1">
      <alignment horizontal="center" vertical="center" wrapText="1"/>
    </xf>
    <xf numFmtId="0" fontId="0" fillId="10" borderId="0" xfId="0" applyFill="1" applyAlignment="1">
      <alignment horizontal="center" vertical="center" wrapText="1"/>
    </xf>
    <xf numFmtId="0" fontId="7" fillId="0" borderId="0" xfId="0" applyFont="1" applyAlignment="1">
      <alignment horizontal="center" vertical="center" wrapText="1"/>
    </xf>
    <xf numFmtId="0" fontId="0" fillId="0" borderId="0" xfId="0" applyNumberFormat="1" applyAlignment="1">
      <alignment horizontal="center" vertical="center"/>
    </xf>
    <xf numFmtId="9" fontId="0" fillId="0" borderId="0" xfId="0" applyNumberFormat="1" applyAlignment="1">
      <alignment horizontal="center" vertical="center"/>
    </xf>
    <xf numFmtId="164" fontId="7" fillId="0" borderId="0" xfId="0" applyNumberFormat="1" applyFont="1"/>
    <xf numFmtId="164" fontId="8" fillId="0" borderId="0" xfId="0" applyNumberFormat="1" applyFont="1"/>
    <xf numFmtId="0" fontId="0" fillId="0" borderId="0" xfId="0" applyFill="1" applyAlignment="1">
      <alignment horizontal="left"/>
    </xf>
    <xf numFmtId="0" fontId="0" fillId="0" borderId="0" xfId="0" applyFill="1"/>
    <xf numFmtId="0" fontId="9" fillId="0" borderId="0" xfId="0" applyFont="1" applyAlignment="1">
      <alignment horizontal="center" vertical="center"/>
    </xf>
    <xf numFmtId="0" fontId="9" fillId="5" borderId="0" xfId="0" applyFont="1" applyFill="1" applyAlignment="1">
      <alignment horizontal="center"/>
    </xf>
    <xf numFmtId="14" fontId="9" fillId="5" borderId="0" xfId="0" applyNumberFormat="1" applyFont="1" applyFill="1" applyAlignment="1">
      <alignment horizontal="center" vertical="center"/>
    </xf>
    <xf numFmtId="0" fontId="9" fillId="5" borderId="0" xfId="0" applyFont="1" applyFill="1" applyAlignment="1">
      <alignment horizontal="center" vertical="center"/>
    </xf>
    <xf numFmtId="14" fontId="0" fillId="0" borderId="0" xfId="0" applyNumberFormat="1" applyFill="1"/>
    <xf numFmtId="164" fontId="0" fillId="0" borderId="0" xfId="0" applyNumberFormat="1" applyFill="1" applyAlignment="1">
      <alignment horizontal="center"/>
    </xf>
    <xf numFmtId="0" fontId="0" fillId="0" borderId="0" xfId="0" applyFont="1" applyAlignment="1">
      <alignment horizontal="center" vertical="center"/>
    </xf>
    <xf numFmtId="0" fontId="0" fillId="0" borderId="0" xfId="0" applyFill="1" applyAlignment="1">
      <alignment horizontal="center" vertical="center" wrapText="1"/>
    </xf>
    <xf numFmtId="0" fontId="0" fillId="0" borderId="0" xfId="0" applyNumberFormat="1" applyFill="1" applyAlignment="1">
      <alignment horizontal="center" vertical="center"/>
    </xf>
    <xf numFmtId="9" fontId="0" fillId="0" borderId="0" xfId="0" applyNumberFormat="1" applyFill="1" applyAlignment="1">
      <alignment horizontal="center" vertical="center" wrapText="1"/>
    </xf>
    <xf numFmtId="0" fontId="10" fillId="0" borderId="0" xfId="0" applyFont="1"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9" fillId="6" borderId="0" xfId="0" applyFont="1" applyFill="1" applyAlignment="1">
      <alignment horizontal="center" vertical="center"/>
    </xf>
    <xf numFmtId="16" fontId="0" fillId="0" borderId="0" xfId="0" applyNumberFormat="1" applyFill="1"/>
    <xf numFmtId="0" fontId="3" fillId="0" borderId="0" xfId="0" applyFont="1" applyAlignment="1">
      <alignment horizontal="left"/>
    </xf>
    <xf numFmtId="0" fontId="4" fillId="0" borderId="0" xfId="0" applyFont="1" applyAlignment="1">
      <alignment vertical="top"/>
    </xf>
    <xf numFmtId="14" fontId="5" fillId="0" borderId="0" xfId="0" applyNumberFormat="1" applyFont="1" applyAlignment="1">
      <alignment horizontal="left"/>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Wong, Jennifer" id="{31CD1E5D-A850-4985-9616-4A6BC7FCF185}" userId="S::jennifer.wong@seattle.gov::370aaad4-40f4-4ef0-8704-14defbf2733b" providerId="AD"/>
  <person displayName="Daron Williams" id="{6BF21425-F8F7-4CB0-9431-EC4C585CED8A}" userId="S::daron.williams@seattle.gov::8aad1569-0df5-4d87-b189-48478530a50f" providerId="AD"/>
  <person displayName="Harrison, Ashley" id="{7E2EC8D9-1AB3-4134-9228-905A19A553B2}" userId="S::ashley.harrison@seattle.gov::cb4db0ec-9db7-4b46-84db-3026fa0902ca"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Daron" refreshedDate="44144.567293287037" createdVersion="6" refreshedVersion="6" minRefreshableVersion="3" recordCount="914" xr:uid="{62AB2740-A9B0-41A9-BFD8-86FFF0CA8EA3}">
  <cacheSource type="worksheet">
    <worksheetSource ref="A1:R915" sheet="OLS OT &amp; WT calcs"/>
  </cacheSource>
  <cacheFields count="18">
    <cacheField name="Pay Date" numFmtId="14">
      <sharedItems containsDate="1" containsMixedTypes="1" minDate="2018-02-23T00:00:00" maxDate="2020-07-12T00:00:00" count="102">
        <d v="2018-06-02T00:00:00"/>
        <d v="2018-06-16T00:00:00"/>
        <d v="2018-06-30T00:00:00"/>
        <d v="2018-07-14T00:00:00"/>
        <d v="2018-07-28T00:00:00"/>
        <d v="2018-08-11T00:00:00"/>
        <d v="2018-08-25T00:00:00"/>
        <d v="2018-09-08T00:00:00"/>
        <d v="2018-09-22T00:00:00"/>
        <d v="2018-10-06T00:00:00"/>
        <d v="2018-10-20T00:00:00"/>
        <d v="2018-11-03T00:00:00"/>
        <d v="2018-11-23T00:00:00"/>
        <d v="2018-12-07T00:00:00"/>
        <d v="2018-12-21T00:00:00"/>
        <d v="2019-01-04T00:00:00"/>
        <s v="x"/>
        <d v="2019-02-01T00:00:00"/>
        <d v="2019-02-15T00:00:00"/>
        <d v="2019-02-27T00:00:00"/>
        <d v="2019-03-15T00:00:00"/>
        <d v="2019-03-29T00:00:00"/>
        <d v="2019-04-12T00:00:00"/>
        <d v="2019-04-26T00:00:00"/>
        <d v="2019-05-10T00:00:00"/>
        <d v="2019-09-07T00:00:00"/>
        <d v="2019-03-01T00:00:00"/>
        <d v="2019-05-24T00:00:00"/>
        <d v="2019-06-07T00:00:00"/>
        <d v="2019-06-21T00:00:00"/>
        <d v="2019-07-05T00:00:00"/>
        <d v="2019-07-19T00:00:00"/>
        <d v="2019-08-02T00:00:00"/>
        <d v="2019-08-16T00:00:00"/>
        <d v="2019-08-30T00:00:00"/>
        <d v="2019-09-13T00:00:00"/>
        <d v="2018-11-17T00:00:00"/>
        <d v="2019-09-27T00:00:00"/>
        <d v="2019-10-11T00:00:00"/>
        <d v="2019-10-25T00:00:00"/>
        <d v="2019-11-08T00:00:00"/>
        <d v="2019-11-22T00:00:00"/>
        <d v="2019-12-06T00:00:00"/>
        <d v="2019-12-20T00:00:00"/>
        <d v="2020-01-03T00:00:00"/>
        <d v="2020-01-17T00:00:00"/>
        <d v="2020-01-31T00:00:00"/>
        <d v="2020-02-14T00:00:00"/>
        <d v="2020-02-28T00:00:00"/>
        <d v="2020-03-13T00:00:00"/>
        <d v="2020-03-27T00:00:00"/>
        <d v="2019-07-13T00:00:00"/>
        <d v="2019-08-24T00:00:00"/>
        <d v="2019-09-21T00:00:00"/>
        <d v="2018-02-23T00:00:00"/>
        <d v="2018-03-10T00:00:00"/>
        <d v="2018-04-07T00:00:00"/>
        <d v="2018-04-21T00:00:00"/>
        <d v="2018-05-05T00:00:00"/>
        <d v="2018-05-19T00:00:00"/>
        <d v="2018-12-17T00:00:00"/>
        <d v="2019-12-17T00:00:00"/>
        <d v="2019-11-02T00:00:00"/>
        <d v="2019-06-01T00:00:00"/>
        <d v="2019-06-16T00:00:00"/>
        <d v="2019-06-29T00:00:00"/>
        <d v="2019-07-28T00:00:00"/>
        <d v="2019-08-11T00:00:00"/>
        <d v="2019-10-18T00:00:00"/>
        <d v="2020-02-08T00:00:00"/>
        <d v="2020-02-22T00:00:00"/>
        <d v="2020-03-07T00:00:00"/>
        <d v="2020-03-20T00:00:00"/>
        <d v="2020-03-21T00:00:00"/>
        <d v="2020-03-25T00:00:00"/>
        <d v="2020-05-16T00:00:00"/>
        <d v="2020-05-30T00:00:00"/>
        <d v="2020-06-13T00:00:00"/>
        <d v="2020-07-11T00:00:00"/>
        <d v="2019-05-04T00:00:00"/>
        <d v="2020-06-27T00:00:00"/>
        <d v="2019-12-01T00:00:00"/>
        <d v="2019-12-15T00:00:00"/>
        <d v="2018-12-29T00:00:00"/>
        <d v="2019-01-26T00:00:00"/>
        <d v="2019-02-09T00:00:00"/>
        <d v="2019-03-23T00:00:00"/>
        <d v="2019-02-23T00:00:00"/>
        <d v="2019-03-09T00:00:00"/>
        <d v="2020-01-25T00:00:00"/>
        <d v="2020-04-03T00:00:00"/>
        <d v="2018-12-01T00:00:00"/>
        <d v="2018-12-15T00:00:00"/>
        <d v="2019-11-16T00:00:00"/>
        <d v="2019-11-30T00:00:00"/>
        <d v="2019-12-14T00:00:00"/>
        <d v="2019-12-28T00:00:00"/>
        <d v="2020-01-11T00:00:00"/>
        <d v="2019-01-25T00:00:00"/>
        <d v="2020-04-10T00:00:00"/>
        <d v="2020-05-22T00:00:00"/>
        <d v="2020-06-05T00:00:00"/>
      </sharedItems>
    </cacheField>
    <cacheField name="Name" numFmtId="0">
      <sharedItems count="60">
        <s v="Alberto Pimental"/>
        <s v="Alejandro Fiol"/>
        <s v="Alexis Hernandez"/>
        <s v="Alfredo "/>
        <s v="ANGEL M. GOMEZ CHAVEZ"/>
        <s v="Antonio Yevenes"/>
        <s v="Bulfrano Brito"/>
        <s v="Claudio I. Gamboa"/>
        <s v="Cristhian Pelaez Ruiz"/>
        <s v="Chisthian Pelaez Ruiz"/>
        <s v="Cristian Navejas"/>
        <s v="David Giron"/>
        <s v="David M. San Roman Mendo"/>
        <s v="Diego F. Rojas Villaseca"/>
        <s v="Emeterio Collins Lopez"/>
        <s v="Evelio Alvarez Ruiz"/>
        <s v="Fabian Asuna"/>
        <s v="Fernando "/>
        <s v="Hector A. Cespedes Rivera"/>
        <s v="Israel Avila Gasca"/>
        <s v="Ivan A. Ponce"/>
        <s v="Javier Pinto"/>
        <s v="Jesus Ramon Castro Mendoza"/>
        <s v="John E. Hinestroz Diaz"/>
        <s v="Jose Rodriguez "/>
        <s v="JOSE R. VEGA HERNANDEZ"/>
        <s v="Josseth Santos"/>
        <s v="Josue F. Osuna Tallabas"/>
        <s v="Lucas M. Ayala"/>
        <s v="LUIS A. GARCIA"/>
        <s v="Luis Enrique "/>
        <s v="Luis G. Fernandez Rosas"/>
        <s v="Luis Ruelos"/>
        <s v="Marco Alvarez"/>
        <s v="Marco Santos"/>
        <s v="Marcos Yevenes "/>
        <s v="Martin M. Ayala Ochoa"/>
        <s v="MATIAS I. CATALAN TORO"/>
        <s v="MIGUEL A. ARVIZU ESCAMILLA"/>
        <s v="Matias Rodriguez"/>
        <s v="Miguel Mendo"/>
        <s v="Ramon A. Duenas Gomez"/>
        <s v="Ruben Gonzalez"/>
        <s v="Gabriel Rios Ortiz"/>
        <s v="Gerardo Valencia"/>
        <s v="Gerardo Guzman Barragan"/>
        <s v="Javier A. Alfaro Perez"/>
        <s v="JOSE A. ESTRADA PARRA"/>
        <s v="Jose Acosta Caballero"/>
        <s v="Jose R. Alvarez Rodriguez"/>
        <s v="Julio C. Caballero Pacheco"/>
        <s v="Luis Andres Arriagada Aguilera"/>
        <s v="Manuel Camus Valdes"/>
        <s v="MARCO P. VILLASENOR HARBOLTE"/>
        <s v="Miguel A. Alfaro Pinto"/>
        <s v="NOE I. RIOS ESTRADA"/>
        <s v="Patricio A. Fernandez Borquez"/>
        <s v="Raul Benjamin Hirales Cuevas"/>
        <s v="Roberto Hiralez Colin"/>
        <s v="Roberto Lopez Hernandez"/>
      </sharedItems>
    </cacheField>
    <cacheField name="Net Amt" numFmtId="0">
      <sharedItems containsString="0" containsBlank="1" containsNumber="1" minValue="0" maxValue="4843"/>
    </cacheField>
    <cacheField name="Hours" numFmtId="0">
      <sharedItems containsSemiMixedTypes="0" containsString="0" containsNumber="1" minValue="0" maxValue="137"/>
    </cacheField>
    <cacheField name="Bonus" numFmtId="0">
      <sharedItems containsString="0" containsBlank="1" containsNumber="1" minValue="0" maxValue="3608.32"/>
    </cacheField>
    <cacheField name="Gross reg amount" numFmtId="0">
      <sharedItems containsString="0" containsBlank="1" containsNumber="1" minValue="0" maxValue="4154"/>
    </cacheField>
    <cacheField name="Taxes Withheld" numFmtId="0">
      <sharedItems containsString="0" containsBlank="1" containsNumber="1" minValue="0" maxValue="1087.5899999999999"/>
    </cacheField>
    <cacheField name="Total Deductions" numFmtId="0">
      <sharedItems containsString="0" containsBlank="1" containsNumber="1" minValue="-0.06" maxValue="2500"/>
    </cacheField>
    <cacheField name="Total Pay" numFmtId="0">
      <sharedItems containsString="0" containsBlank="1" containsNumber="1" minValue="111.75" maxValue="5090.18"/>
    </cacheField>
    <cacheField name="Employer Taxes" numFmtId="0">
      <sharedItems containsString="0" containsBlank="1" containsNumber="1" minValue="0" maxValue="603.87"/>
    </cacheField>
    <cacheField name="Total Cost " numFmtId="0">
      <sharedItems containsString="0" containsBlank="1" containsNumber="1" minValue="134.03" maxValue="5491.34"/>
    </cacheField>
    <cacheField name="Check Num " numFmtId="0">
      <sharedItems containsBlank="1" containsMixedTypes="1" containsNumber="1" containsInteger="1" minValue="100101" maxValue="100222"/>
    </cacheField>
    <cacheField name="Hourly Rate" numFmtId="0">
      <sharedItems containsMixedTypes="1" containsNumber="1" minValue="0" maxValue="115.47071428571428"/>
    </cacheField>
    <cacheField name="Newway Hours" numFmtId="0">
      <sharedItems containsString="0" containsBlank="1" containsNumber="1" minValue="0" maxValue="159.5"/>
    </cacheField>
    <cacheField name="Back Wages due" numFmtId="0">
      <sharedItems containsBlank="1" containsMixedTypes="1" containsNumber="1" minValue="0" maxValue="5578.42"/>
    </cacheField>
    <cacheField name="Interest" numFmtId="164">
      <sharedItems containsMixedTypes="1" containsNumber="1" minValue="0" maxValue="1535.73"/>
    </cacheField>
    <cacheField name="LD" numFmtId="0">
      <sharedItems containsMixedTypes="1" containsNumber="1" minValue="0" maxValue="9762.2350000000006"/>
    </cacheField>
    <cacheField name="CP" numFmtId="0">
      <sharedItems containsString="0" containsBlank="1" containsNumber="1" minValue="409.55" maxValue="546.0700000000000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Daron" refreshedDate="44144.567293749998" createdVersion="6" refreshedVersion="6" minRefreshableVersion="3" recordCount="1097" xr:uid="{68D56C7B-CA0D-4D24-B51F-66DC806B3CC0}">
  <cacheSource type="worksheet">
    <worksheetSource ref="A1:T1048576" sheet="OLS OT &amp; WT_COPYCBE"/>
  </cacheSource>
  <cacheFields count="21">
    <cacheField name="Date" numFmtId="14">
      <sharedItems containsDate="1" containsBlank="1" containsMixedTypes="1" minDate="2017-11-03T00:00:00" maxDate="2020-07-12T00:00:00" count="104">
        <d v="2018-06-02T00:00:00"/>
        <d v="2018-06-16T00:00:00"/>
        <d v="2018-06-30T00:00:00"/>
        <d v="2018-07-14T00:00:00"/>
        <d v="2018-07-28T00:00:00"/>
        <d v="2018-08-11T00:00:00"/>
        <d v="2018-08-25T00:00:00"/>
        <d v="2018-09-08T00:00:00"/>
        <d v="2018-09-22T00:00:00"/>
        <d v="2018-10-06T00:00:00"/>
        <d v="2018-10-20T00:00:00"/>
        <d v="2018-11-03T00:00:00"/>
        <d v="2018-11-23T00:00:00"/>
        <d v="2018-12-07T00:00:00"/>
        <d v="2018-12-21T00:00:00"/>
        <d v="2019-01-04T00:00:00"/>
        <s v="x"/>
        <d v="2019-02-01T00:00:00"/>
        <d v="2019-02-15T00:00:00"/>
        <d v="2019-02-27T00:00:00"/>
        <d v="2019-03-15T00:00:00"/>
        <d v="2019-03-29T00:00:00"/>
        <d v="2019-04-12T00:00:00"/>
        <d v="2019-04-26T00:00:00"/>
        <d v="2019-05-10T00:00:00"/>
        <d v="2019-09-07T00:00:00"/>
        <d v="2019-03-01T00:00:00"/>
        <d v="2019-05-24T00:00:00"/>
        <d v="2019-06-07T00:00:00"/>
        <d v="2019-06-21T00:00:00"/>
        <d v="2019-07-05T00:00:00"/>
        <d v="2019-07-19T00:00:00"/>
        <d v="2019-08-02T00:00:00"/>
        <d v="2019-08-16T00:00:00"/>
        <d v="2019-08-30T00:00:00"/>
        <d v="2019-09-13T00:00:00"/>
        <d v="2018-11-17T00:00:00"/>
        <d v="2019-09-27T00:00:00"/>
        <d v="2019-10-11T00:00:00"/>
        <d v="2019-10-25T00:00:00"/>
        <d v="2019-11-08T00:00:00"/>
        <d v="2019-11-22T00:00:00"/>
        <d v="2019-12-06T00:00:00"/>
        <d v="2019-12-20T00:00:00"/>
        <d v="2020-01-03T00:00:00"/>
        <d v="2020-01-17T00:00:00"/>
        <d v="2020-01-31T00:00:00"/>
        <d v="2020-02-14T00:00:00"/>
        <d v="2020-02-28T00:00:00"/>
        <d v="2020-03-13T00:00:00"/>
        <d v="2020-03-27T00:00:00"/>
        <d v="2019-07-13T00:00:00"/>
        <d v="2019-08-24T00:00:00"/>
        <d v="2019-09-21T00:00:00"/>
        <d v="2018-02-23T00:00:00"/>
        <d v="2018-03-10T00:00:00"/>
        <d v="2018-04-07T00:00:00"/>
        <d v="2018-04-21T00:00:00"/>
        <d v="2018-05-05T00:00:00"/>
        <d v="2018-05-19T00:00:00"/>
        <d v="2017-11-03T00:00:00"/>
        <d v="2018-12-17T00:00:00"/>
        <d v="2019-12-17T00:00:00"/>
        <d v="2019-11-02T00:00:00"/>
        <d v="2019-06-01T00:00:00"/>
        <d v="2019-06-16T00:00:00"/>
        <d v="2019-06-29T00:00:00"/>
        <d v="2019-07-28T00:00:00"/>
        <d v="2019-08-11T00:00:00"/>
        <d v="2019-10-18T00:00:00"/>
        <d v="2020-02-08T00:00:00"/>
        <d v="2020-02-22T00:00:00"/>
        <d v="2020-03-07T00:00:00"/>
        <d v="2020-03-20T00:00:00"/>
        <d v="2020-03-21T00:00:00"/>
        <d v="2020-03-25T00:00:00"/>
        <d v="2020-05-16T00:00:00"/>
        <d v="2020-05-30T00:00:00"/>
        <d v="2020-06-13T00:00:00"/>
        <d v="2020-07-11T00:00:00"/>
        <d v="2019-05-04T00:00:00"/>
        <d v="2019-07-06T00:00:00"/>
        <d v="2020-06-27T00:00:00"/>
        <d v="2019-12-01T00:00:00"/>
        <d v="2019-12-15T00:00:00"/>
        <d v="2018-12-29T00:00:00"/>
        <d v="2019-01-26T00:00:00"/>
        <d v="2019-02-09T00:00:00"/>
        <d v="2019-03-23T00:00:00"/>
        <d v="2019-02-23T00:00:00"/>
        <d v="2019-03-09T00:00:00"/>
        <d v="2020-01-25T00:00:00"/>
        <d v="2020-04-03T00:00:00"/>
        <d v="2019-11-16T00:00:00"/>
        <d v="2019-11-30T00:00:00"/>
        <d v="2019-12-14T00:00:00"/>
        <d v="2019-12-28T00:00:00"/>
        <d v="2020-01-11T00:00:00"/>
        <d v="2019-01-25T00:00:00"/>
        <d v="2020-04-10T00:00:00"/>
        <d v="2020-05-22T00:00:00"/>
        <d v="2020-06-05T00:00:00"/>
        <d v="2018-12-01T00:00:00"/>
        <m/>
      </sharedItems>
      <fieldGroup par="20"/>
    </cacheField>
    <cacheField name="Name" numFmtId="0">
      <sharedItems containsBlank="1" count="60">
        <s v="Alberto Pimental"/>
        <s v="Alejandro Fiol"/>
        <s v="Alexis Hernandez"/>
        <s v="Alfredo "/>
        <s v="ANGEL M. GOMEZ CHAVEZ"/>
        <s v="Antonio Yevenes"/>
        <s v="Bulfrano Brito"/>
        <s v="Claudio I. Gamboa"/>
        <s v="Cristhian Pelaez Ruiz"/>
        <s v="Chisthian Pelaez Ruiz"/>
        <s v="Cristian Navejas"/>
        <s v="David Giron"/>
        <s v="David M. San Roman Mendo"/>
        <s v="Diego F. Rojas Villaseca"/>
        <s v="Emeterio Collins Lopez"/>
        <s v="Evelio Alvarez Ruiz"/>
        <s v="Fabian Asuna"/>
        <s v="Fernando "/>
        <s v="Hector A. Cespedes Rivera"/>
        <s v="Israel Avila Gasca"/>
        <s v="Ivan A. Ponce"/>
        <s v="Javier Pinto"/>
        <s v="Jesus Ramon Castro Mendoza"/>
        <s v="John E. Hinestroz Diaz"/>
        <s v="Jose Rodriguez "/>
        <s v="JOSE R. VEGA HERNANDEZ"/>
        <s v="Josseth Santos"/>
        <s v="Josue F. Osuna Tallabas"/>
        <s v="Lucas M. Ayala"/>
        <s v="LUIS A. GARCIA"/>
        <s v="Luis Enrique "/>
        <s v="Luis G. Fernandez Rosas"/>
        <s v="Luis Ruelos"/>
        <s v="Marco Alvarez"/>
        <s v="Marco Santos"/>
        <s v="Marcos Yevenes "/>
        <s v="Martin M. Ayala Ochoa"/>
        <s v="MATIAS I. CATALAN TORO"/>
        <s v="MIGUEL A. ARVIZU ESCAMILLA"/>
        <s v="Miguel Mendo"/>
        <s v="Ramon A. Duenas Gomez"/>
        <s v="Ruben Gonzalez"/>
        <s v="Gabriel Rios Ortiz"/>
        <s v="Gerardo Valencia"/>
        <s v="Gerardo Guzman Barragan"/>
        <s v="Javier A. Alfaro Perez"/>
        <s v="JOSE A. ESTRADA PARRA"/>
        <s v="Jose Acosta Caballero"/>
        <s v="Jose R. Alvarez Rodriguez"/>
        <s v="Julio C. Caballero Pacheco"/>
        <s v="Luis Andres Arriagada Aguilera"/>
        <s v="Manuel Camus Valdes"/>
        <s v="MARCO P. VILLASENOR HARBOLTE"/>
        <s v="Miguel A. Alfaro Pinto"/>
        <s v="NOE I. RIOS ESTRADA"/>
        <s v="Patricio A. Fernandez Borquez"/>
        <s v="Raul Benjamin Hirales Cuevas"/>
        <s v="Roberto Hiralez Colin"/>
        <s v="Roberto Lopez Hernandez"/>
        <m/>
      </sharedItems>
    </cacheField>
    <cacheField name="Net Amt" numFmtId="0">
      <sharedItems containsString="0" containsBlank="1" containsNumber="1" minValue="100" maxValue="4843"/>
    </cacheField>
    <cacheField name="Hours" numFmtId="0">
      <sharedItems containsString="0" containsBlank="1" containsNumber="1" minValue="0" maxValue="137"/>
    </cacheField>
    <cacheField name="Bonus" numFmtId="0">
      <sharedItems containsString="0" containsBlank="1" containsNumber="1" minValue="0" maxValue="3608.32"/>
    </cacheField>
    <cacheField name="Gross amount" numFmtId="0">
      <sharedItems containsString="0" containsBlank="1" containsNumber="1" minValue="0" maxValue="4154"/>
    </cacheField>
    <cacheField name="Taxes Withheld" numFmtId="0">
      <sharedItems containsString="0" containsBlank="1" containsNumber="1" minValue="0" maxValue="1087.5899999999999"/>
    </cacheField>
    <cacheField name="Total Deductions" numFmtId="0">
      <sharedItems containsString="0" containsBlank="1" containsNumber="1" minValue="-0.06" maxValue="2500"/>
    </cacheField>
    <cacheField name="Total Pay" numFmtId="0">
      <sharedItems containsString="0" containsBlank="1" containsNumber="1" minValue="111.75" maxValue="5090.18"/>
    </cacheField>
    <cacheField name="Employer Taxes" numFmtId="0">
      <sharedItems containsString="0" containsBlank="1" containsNumber="1" minValue="0" maxValue="603.87"/>
    </cacheField>
    <cacheField name="Total Cost " numFmtId="0">
      <sharedItems containsString="0" containsBlank="1" containsNumber="1" minValue="134.03" maxValue="5491.34"/>
    </cacheField>
    <cacheField name="Check Num " numFmtId="0">
      <sharedItems containsBlank="1" containsMixedTypes="1" containsNumber="1" containsInteger="1" minValue="100101" maxValue="100222"/>
    </cacheField>
    <cacheField name="Hourly Rate" numFmtId="0">
      <sharedItems containsBlank="1" containsMixedTypes="1" containsNumber="1" minValue="0" maxValue="115.47071428571428"/>
    </cacheField>
    <cacheField name="Newway Hours" numFmtId="0">
      <sharedItems containsString="0" containsBlank="1" containsNumber="1" minValue="0" maxValue="159.5"/>
    </cacheField>
    <cacheField name="Back Wages due" numFmtId="0">
      <sharedItems containsBlank="1" containsMixedTypes="1" containsNumber="1" minValue="0" maxValue="2668.1400000000003"/>
    </cacheField>
    <cacheField name="Interest" numFmtId="0">
      <sharedItems containsBlank="1" containsMixedTypes="1" containsNumber="1" minValue="0" maxValue="124.15"/>
    </cacheField>
    <cacheField name="LD" numFmtId="0">
      <sharedItems containsBlank="1" containsMixedTypes="1" containsNumber="1" minValue="0" maxValue="4002.2100000000005"/>
    </cacheField>
    <cacheField name="CP" numFmtId="0">
      <sharedItems containsString="0" containsBlank="1" containsNumber="1" minValue="409.55" maxValue="18429.749999999985"/>
    </cacheField>
    <cacheField name="Av. Hourly rate" numFmtId="0">
      <sharedItems containsString="0" containsBlank="1" containsNumber="1" minValue="20.57" maxValue="21.87"/>
    </cacheField>
    <cacheField name="9/1/2020" numFmtId="0">
      <sharedItems containsNonDate="0" containsString="0" containsBlank="1"/>
    </cacheField>
    <cacheField name="Date2" numFmtId="0" databaseField="0">
      <fieldGroup base="0">
        <discretePr count="104">
          <x v="3"/>
          <x v="3"/>
          <x v="3"/>
          <x v="3"/>
          <x v="3"/>
          <x v="3"/>
          <x v="3"/>
          <x v="3"/>
          <x v="3"/>
          <x v="3"/>
          <x v="3"/>
          <x v="3"/>
          <x v="3"/>
          <x v="3"/>
          <x v="3"/>
          <x v="5"/>
          <x v="0"/>
          <x v="5"/>
          <x v="5"/>
          <x v="5"/>
          <x v="5"/>
          <x v="5"/>
          <x v="5"/>
          <x v="5"/>
          <x v="5"/>
          <x v="5"/>
          <x v="5"/>
          <x v="5"/>
          <x v="5"/>
          <x v="5"/>
          <x v="5"/>
          <x v="5"/>
          <x v="5"/>
          <x v="5"/>
          <x v="5"/>
          <x v="5"/>
          <x v="3"/>
          <x v="5"/>
          <x v="5"/>
          <x v="5"/>
          <x v="5"/>
          <x v="5"/>
          <x v="5"/>
          <x v="5"/>
          <x v="4"/>
          <x v="4"/>
          <x v="4"/>
          <x v="4"/>
          <x v="4"/>
          <x v="4"/>
          <x v="4"/>
          <x v="5"/>
          <x v="5"/>
          <x v="5"/>
          <x v="3"/>
          <x v="3"/>
          <x v="3"/>
          <x v="3"/>
          <x v="3"/>
          <x v="3"/>
          <x v="1"/>
          <x v="3"/>
          <x v="5"/>
          <x v="5"/>
          <x v="5"/>
          <x v="5"/>
          <x v="5"/>
          <x v="5"/>
          <x v="5"/>
          <x v="5"/>
          <x v="4"/>
          <x v="4"/>
          <x v="4"/>
          <x v="4"/>
          <x v="4"/>
          <x v="4"/>
          <x v="4"/>
          <x v="4"/>
          <x v="4"/>
          <x v="4"/>
          <x v="5"/>
          <x v="5"/>
          <x v="4"/>
          <x v="5"/>
          <x v="5"/>
          <x v="3"/>
          <x v="5"/>
          <x v="5"/>
          <x v="5"/>
          <x v="5"/>
          <x v="5"/>
          <x v="4"/>
          <x v="4"/>
          <x v="5"/>
          <x v="5"/>
          <x v="5"/>
          <x v="5"/>
          <x v="4"/>
          <x v="5"/>
          <x v="4"/>
          <x v="4"/>
          <x v="4"/>
          <x v="3"/>
          <x v="2"/>
        </discretePr>
        <groupItems count="6">
          <s v="x"/>
          <d v="2017-11-03T00:00:00"/>
          <m/>
          <s v="Group1"/>
          <s v="Group2"/>
          <s v="Group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4">
  <r>
    <x v="0"/>
    <x v="0"/>
    <m/>
    <n v="44"/>
    <m/>
    <m/>
    <m/>
    <m/>
    <m/>
    <m/>
    <m/>
    <m/>
    <n v="26.26"/>
    <n v="44"/>
    <n v="1207.96"/>
    <n v="350.31"/>
    <n v="2113.9300000000003"/>
    <n v="546.07000000000005"/>
  </r>
  <r>
    <x v="1"/>
    <x v="0"/>
    <m/>
    <n v="106"/>
    <m/>
    <m/>
    <m/>
    <m/>
    <m/>
    <m/>
    <m/>
    <m/>
    <n v="26.26"/>
    <n v="106"/>
    <n v="3124.9400000000005"/>
    <n v="906.23"/>
    <n v="5468.6450000000004"/>
    <m/>
  </r>
  <r>
    <x v="2"/>
    <x v="0"/>
    <m/>
    <n v="103"/>
    <m/>
    <m/>
    <m/>
    <m/>
    <m/>
    <m/>
    <m/>
    <m/>
    <n v="26.26"/>
    <n v="103"/>
    <n v="3006.7700000000004"/>
    <n v="841.9"/>
    <n v="5261.8475000000008"/>
    <m/>
  </r>
  <r>
    <x v="3"/>
    <x v="0"/>
    <m/>
    <n v="72"/>
    <m/>
    <m/>
    <m/>
    <m/>
    <m/>
    <m/>
    <m/>
    <m/>
    <n v="26.26"/>
    <n v="72"/>
    <n v="2310.88"/>
    <n v="647.04999999999995"/>
    <n v="4044.04"/>
    <m/>
  </r>
  <r>
    <x v="4"/>
    <x v="0"/>
    <m/>
    <n v="87"/>
    <m/>
    <m/>
    <m/>
    <m/>
    <m/>
    <m/>
    <m/>
    <m/>
    <n v="26.26"/>
    <n v="87"/>
    <n v="2376.5300000000002"/>
    <n v="641.66"/>
    <n v="4158.9275000000007"/>
    <m/>
  </r>
  <r>
    <x v="5"/>
    <x v="0"/>
    <m/>
    <n v="89"/>
    <m/>
    <m/>
    <m/>
    <m/>
    <m/>
    <m/>
    <m/>
    <m/>
    <n v="26.26"/>
    <n v="89"/>
    <n v="2455.3100000000004"/>
    <n v="662.93"/>
    <n v="4296.7925000000005"/>
    <m/>
  </r>
  <r>
    <x v="6"/>
    <x v="0"/>
    <m/>
    <n v="95"/>
    <m/>
    <m/>
    <m/>
    <m/>
    <m/>
    <m/>
    <m/>
    <m/>
    <n v="26.26"/>
    <n v="95"/>
    <n v="2691.65"/>
    <n v="699.83"/>
    <n v="4710.3874999999998"/>
    <m/>
  </r>
  <r>
    <x v="7"/>
    <x v="0"/>
    <m/>
    <n v="83"/>
    <m/>
    <m/>
    <m/>
    <m/>
    <m/>
    <m/>
    <m/>
    <m/>
    <n v="26.26"/>
    <n v="83"/>
    <n v="2218.9700000000003"/>
    <n v="576.92999999999995"/>
    <n v="3883.1975000000002"/>
    <m/>
  </r>
  <r>
    <x v="8"/>
    <x v="0"/>
    <m/>
    <n v="111"/>
    <m/>
    <m/>
    <m/>
    <m/>
    <m/>
    <m/>
    <m/>
    <m/>
    <n v="26.26"/>
    <n v="111"/>
    <n v="3321.8900000000003"/>
    <n v="830.47"/>
    <n v="5813.3075000000008"/>
    <m/>
  </r>
  <r>
    <x v="9"/>
    <x v="0"/>
    <m/>
    <n v="99.75"/>
    <m/>
    <m/>
    <m/>
    <m/>
    <m/>
    <m/>
    <m/>
    <m/>
    <n v="26.26"/>
    <n v="99.75"/>
    <n v="2878.7525000000001"/>
    <n v="719.69"/>
    <n v="5037.8168750000004"/>
    <m/>
  </r>
  <r>
    <x v="10"/>
    <x v="0"/>
    <m/>
    <n v="114"/>
    <m/>
    <m/>
    <m/>
    <m/>
    <m/>
    <m/>
    <m/>
    <m/>
    <n v="26.26"/>
    <n v="114"/>
    <n v="3440.0600000000004"/>
    <n v="860.02"/>
    <n v="6020.1050000000005"/>
    <m/>
  </r>
  <r>
    <x v="11"/>
    <x v="0"/>
    <m/>
    <n v="53"/>
    <m/>
    <m/>
    <m/>
    <m/>
    <m/>
    <m/>
    <m/>
    <m/>
    <n v="26.26"/>
    <n v="53"/>
    <n v="1562.4700000000003"/>
    <n v="374.99"/>
    <n v="2734.3225000000002"/>
    <m/>
  </r>
  <r>
    <x v="10"/>
    <x v="1"/>
    <m/>
    <n v="30"/>
    <m/>
    <m/>
    <m/>
    <m/>
    <m/>
    <m/>
    <m/>
    <m/>
    <n v="22.08"/>
    <n v="30"/>
    <n v="662.4"/>
    <n v="165.6"/>
    <n v="1159.2"/>
    <n v="546.07000000000005"/>
  </r>
  <r>
    <x v="11"/>
    <x v="1"/>
    <m/>
    <n v="108"/>
    <m/>
    <m/>
    <m/>
    <m/>
    <m/>
    <m/>
    <m/>
    <m/>
    <n v="22.08"/>
    <n v="108"/>
    <n v="2693.7599999999998"/>
    <n v="646.5"/>
    <n v="4714.08"/>
    <m/>
  </r>
  <r>
    <x v="12"/>
    <x v="1"/>
    <n v="2052"/>
    <n v="80"/>
    <n v="188"/>
    <n v="2080"/>
    <n v="216"/>
    <n v="0"/>
    <n v="2268"/>
    <n v="388.71"/>
    <n v="2656.71"/>
    <s v="DD"/>
    <n v="19.894736842105264"/>
    <n v="114"/>
    <n v="338.21052631578948"/>
    <n v="77.790000000000006"/>
    <n v="591.86842105263156"/>
    <m/>
  </r>
  <r>
    <x v="13"/>
    <x v="1"/>
    <n v="856"/>
    <n v="52"/>
    <n v="29.33"/>
    <n v="1440"/>
    <n v="173.33"/>
    <n v="440"/>
    <n v="1469.33"/>
    <n v="292.27"/>
    <n v="1761.6"/>
    <s v="DD"/>
    <n v="20.407361111111111"/>
    <n v="72"/>
    <n v="122.44416666666666"/>
    <n v="28.16"/>
    <n v="214.27729166666666"/>
    <m/>
  </r>
  <r>
    <x v="14"/>
    <x v="1"/>
    <n v="1463"/>
    <n v="80"/>
    <n v="157.31"/>
    <n v="1520"/>
    <n v="214.31"/>
    <n v="0"/>
    <n v="1677.31"/>
    <n v="329.29"/>
    <n v="2006.6"/>
    <s v="DD"/>
    <n v="20.966374999999999"/>
    <n v="80"/>
    <n v="0"/>
    <n v="0"/>
    <n v="0"/>
    <m/>
  </r>
  <r>
    <x v="15"/>
    <x v="1"/>
    <n v="1108"/>
    <n v="80"/>
    <n v="23.67"/>
    <n v="1760"/>
    <n v="235.67"/>
    <n v="440"/>
    <n v="1783.67"/>
    <n v="339.98"/>
    <n v="2123.65"/>
    <s v="DD"/>
    <n v="20.740348837209304"/>
    <n v="86"/>
    <n v="62.221046511627911"/>
    <n v="13.69"/>
    <n v="108.88683139534885"/>
    <m/>
  </r>
  <r>
    <x v="16"/>
    <x v="1"/>
    <n v="1872"/>
    <n v="80"/>
    <n v="0"/>
    <n v="2080"/>
    <n v="208"/>
    <n v="0"/>
    <n v="2080"/>
    <n v="369.79"/>
    <n v="2449.79"/>
    <s v="DD"/>
    <n v="18.90909090909091"/>
    <n v="110"/>
    <n v="283.63636363636363"/>
    <e v="#VALUE!"/>
    <n v="425.45454545454544"/>
    <m/>
  </r>
  <r>
    <x v="17"/>
    <x v="1"/>
    <n v="1640"/>
    <n v="80"/>
    <n v="362.29"/>
    <n v="2080"/>
    <n v="362.29"/>
    <n v="440"/>
    <n v="2442.29"/>
    <n v="406.25"/>
    <n v="2848.54"/>
    <s v="DD"/>
    <n v="22.202636363636362"/>
    <n v="110"/>
    <n v="333.03954545454542"/>
    <n v="69.94"/>
    <n v="582.81920454545445"/>
    <m/>
  </r>
  <r>
    <x v="18"/>
    <x v="1"/>
    <n v="1665"/>
    <n v="80"/>
    <n v="208.31"/>
    <n v="1890"/>
    <n v="208.31"/>
    <n v="225"/>
    <n v="2098.31"/>
    <n v="363.19"/>
    <n v="2461.5"/>
    <s v="DD"/>
    <n v="21.08854271356784"/>
    <n v="99.5"/>
    <n v="205.61329145728644"/>
    <n v="43.18"/>
    <n v="359.82326005025129"/>
    <m/>
  </r>
  <r>
    <x v="19"/>
    <x v="1"/>
    <n v="1814"/>
    <n v="0"/>
    <n v="1814"/>
    <n v="0"/>
    <n v="243.14"/>
    <n v="0"/>
    <n v="2057.14"/>
    <n v="194.61"/>
    <n v="2251.75"/>
    <s v="DD"/>
    <n v="18.994764397905758"/>
    <n v="95.5"/>
    <n v="147.20942408376962"/>
    <n v="29.44"/>
    <n v="257.61649214659684"/>
    <m/>
  </r>
  <r>
    <x v="20"/>
    <x v="1"/>
    <n v="1890"/>
    <n v="80"/>
    <n v="125.05"/>
    <n v="2080"/>
    <n v="315.05"/>
    <n v="0"/>
    <n v="2205.0500000000002"/>
    <n v="369.13"/>
    <n v="2574.1799999999998"/>
    <s v="DD"/>
    <n v="22.161306532663318"/>
    <n v="99.5"/>
    <n v="216.07273869346736"/>
    <n v="43.21"/>
    <n v="378.1272927135679"/>
    <m/>
  </r>
  <r>
    <x v="21"/>
    <x v="1"/>
    <n v="1748"/>
    <n v="75"/>
    <n v="0"/>
    <n v="1950"/>
    <n v="202"/>
    <n v="0"/>
    <n v="1950"/>
    <n v="334.97"/>
    <n v="2284.9699999999998"/>
    <s v="DD"/>
    <n v="21.195652173913043"/>
    <n v="92"/>
    <n v="127.17391304347825"/>
    <n v="24.16"/>
    <n v="222.55434782608694"/>
    <m/>
  </r>
  <r>
    <x v="22"/>
    <x v="1"/>
    <n v="1748"/>
    <n v="80"/>
    <n v="0"/>
    <n v="2080"/>
    <n v="332"/>
    <n v="0"/>
    <n v="2080"/>
    <n v="357.31"/>
    <n v="2437.31"/>
    <s v="DD"/>
    <n v="22.857142857142858"/>
    <n v="91"/>
    <n v="125.71428571428572"/>
    <n v="23.89"/>
    <n v="220"/>
    <m/>
  </r>
  <r>
    <x v="23"/>
    <x v="1"/>
    <n v="1672"/>
    <n v="80"/>
    <n v="0"/>
    <n v="2080"/>
    <n v="408"/>
    <n v="0"/>
    <n v="2080"/>
    <n v="353.77"/>
    <n v="2433.77"/>
    <s v="DD"/>
    <n v="23.636363636363637"/>
    <n v="88"/>
    <n v="94.545454545454547"/>
    <n v="17.02"/>
    <n v="165.45454545454547"/>
    <m/>
  </r>
  <r>
    <x v="24"/>
    <x v="1"/>
    <n v="1263"/>
    <n v="58.5"/>
    <n v="0"/>
    <n v="2080"/>
    <n v="817"/>
    <n v="0"/>
    <n v="2080"/>
    <n v="353.78"/>
    <n v="2433.7800000000002"/>
    <s v="DD"/>
    <n v="31.278195488721803"/>
    <n v="66.5"/>
    <n v="289.32330827067665"/>
    <n v="52.08"/>
    <n v="506.31578947368416"/>
    <m/>
  </r>
  <r>
    <x v="16"/>
    <x v="2"/>
    <n v="1008.2"/>
    <n v="80"/>
    <m/>
    <m/>
    <n v="191.8"/>
    <n v="0"/>
    <n v="1200"/>
    <n v="281.26"/>
    <n v="1481.26"/>
    <m/>
    <e v="#DIV/0!"/>
    <m/>
    <e v="#DIV/0!"/>
    <e v="#VALUE!"/>
    <e v="#DIV/0!"/>
    <n v="409.55"/>
  </r>
  <r>
    <x v="16"/>
    <x v="2"/>
    <n v="1008.2"/>
    <n v="80"/>
    <m/>
    <m/>
    <n v="191.8"/>
    <n v="0"/>
    <n v="1200"/>
    <n v="281.26"/>
    <n v="1481.26"/>
    <m/>
    <e v="#DIV/0!"/>
    <m/>
    <e v="#DIV/0!"/>
    <e v="#VALUE!"/>
    <e v="#DIV/0!"/>
    <m/>
  </r>
  <r>
    <x v="25"/>
    <x v="3"/>
    <m/>
    <n v="107.5"/>
    <m/>
    <m/>
    <m/>
    <m/>
    <m/>
    <m/>
    <m/>
    <m/>
    <n v="26.26"/>
    <n v="107.5"/>
    <n v="3184.0250000000001"/>
    <n v="445.76"/>
    <n v="5572.0437499999998"/>
    <n v="546.07000000000005"/>
  </r>
  <r>
    <x v="18"/>
    <x v="4"/>
    <n v="1591"/>
    <n v="80"/>
    <n v="199.83"/>
    <n v="1791"/>
    <n v="199.83"/>
    <n v="200"/>
    <n v="1990.83"/>
    <n v="360.82"/>
    <n v="2351.65"/>
    <n v="100152"/>
    <n v="20.008341708542712"/>
    <n v="99.5"/>
    <n v="195.08133165829145"/>
    <n v="40.97"/>
    <n v="341.39233040201003"/>
    <n v="546.07000000000005"/>
  </r>
  <r>
    <x v="26"/>
    <x v="4"/>
    <n v="1171"/>
    <n v="80"/>
    <n v="184.39"/>
    <n v="1611"/>
    <n v="184.39"/>
    <n v="440"/>
    <n v="1795.39"/>
    <n v="341.16"/>
    <n v="2136.5500000000002"/>
    <n v="100162"/>
    <n v="20.060223463687148"/>
    <n v="89.5"/>
    <n v="95.286061452513948"/>
    <n v="19.059999999999999"/>
    <n v="166.7506075418994"/>
    <m/>
  </r>
  <r>
    <x v="20"/>
    <x v="4"/>
    <n v="785"/>
    <n v="46"/>
    <n v="320.07"/>
    <n v="1395"/>
    <n v="320.07"/>
    <n v="610"/>
    <n v="1715.07"/>
    <n v="333.07"/>
    <n v="2048.14"/>
    <s v="DD"/>
    <n v="22.129935483870966"/>
    <n v="77.5"/>
    <n v="66.389806451612898"/>
    <n v="13.28"/>
    <n v="116.18216129032257"/>
    <m/>
  </r>
  <r>
    <x v="21"/>
    <x v="4"/>
    <n v="1090"/>
    <n v="46"/>
    <n v="353.63"/>
    <n v="1530"/>
    <n v="353.63"/>
    <n v="440"/>
    <n v="1883.63"/>
    <n v="347.73"/>
    <n v="2231.36"/>
    <s v="DD"/>
    <n v="22.160352941176473"/>
    <n v="85"/>
    <n v="66.481058823529423"/>
    <n v="12.63"/>
    <n v="116.34185294117648"/>
    <m/>
  </r>
  <r>
    <x v="22"/>
    <x v="4"/>
    <n v="1084"/>
    <n v="80"/>
    <n v="367.04"/>
    <n v="1584"/>
    <n v="367.04"/>
    <n v="500"/>
    <n v="1951.04"/>
    <n v="345.1"/>
    <n v="2296.14"/>
    <s v="DD"/>
    <n v="22.170909090909092"/>
    <n v="88"/>
    <n v="88.683636363636367"/>
    <n v="16.850000000000001"/>
    <n v="155.19636363636363"/>
    <m/>
  </r>
  <r>
    <x v="23"/>
    <x v="4"/>
    <n v="1638"/>
    <n v="80"/>
    <n v="384.87"/>
    <n v="1638"/>
    <n v="384.87"/>
    <n v="0"/>
    <n v="2022.87"/>
    <n v="348.46"/>
    <n v="2371.33"/>
    <s v="DD"/>
    <n v="22.229340659340657"/>
    <n v="91"/>
    <n v="122.26137362637361"/>
    <n v="22.01"/>
    <n v="213.95740384615382"/>
    <m/>
  </r>
  <r>
    <x v="24"/>
    <x v="4"/>
    <n v="1692"/>
    <n v="80"/>
    <n v="407.9"/>
    <n v="1692"/>
    <n v="407.9"/>
    <n v="0"/>
    <n v="2099.9"/>
    <n v="355.62"/>
    <n v="2455.52"/>
    <s v="DD"/>
    <n v="22.339361702127661"/>
    <n v="94"/>
    <n v="156.37553191489363"/>
    <n v="28.15"/>
    <n v="273.65718085106386"/>
    <m/>
  </r>
  <r>
    <x v="27"/>
    <x v="4"/>
    <n v="1243"/>
    <n v="80"/>
    <n v="404.07"/>
    <n v="1683"/>
    <n v="404.07"/>
    <n v="440"/>
    <n v="2087.0700000000002"/>
    <n v="354.43"/>
    <n v="2441.5"/>
    <s v="DD"/>
    <n v="19.876857142857144"/>
    <n v="105"/>
    <n v="248.46071428571429"/>
    <n v="42.24"/>
    <n v="434.80624999999998"/>
    <m/>
  </r>
  <r>
    <x v="28"/>
    <x v="4"/>
    <n v="1512"/>
    <n v="80"/>
    <n v="349.15"/>
    <n v="1512"/>
    <n v="349.15"/>
    <n v="0"/>
    <n v="1861.15"/>
    <n v="333.44"/>
    <n v="2194.59"/>
    <s v="DD"/>
    <n v="20.794972067039108"/>
    <n v="89.5"/>
    <n v="98.776117318435766"/>
    <n v="16.79"/>
    <n v="172.85820530726258"/>
    <m/>
  </r>
  <r>
    <x v="29"/>
    <x v="4"/>
    <n v="1549"/>
    <n v="80"/>
    <n v="272.8"/>
    <n v="1989"/>
    <n v="272.8"/>
    <n v="440"/>
    <n v="2261.8000000000002"/>
    <n v="370.66"/>
    <n v="2632.46"/>
    <s v="DD"/>
    <n v="20.468778280542988"/>
    <n v="110.5"/>
    <n v="312.14886877828059"/>
    <n v="49.94"/>
    <n v="546.26052036199098"/>
    <m/>
  </r>
  <r>
    <x v="30"/>
    <x v="4"/>
    <n v="1530"/>
    <n v="80"/>
    <n v="177.42"/>
    <n v="1530"/>
    <n v="177.42"/>
    <n v="0"/>
    <n v="1707.42"/>
    <n v="319.14999999999998"/>
    <n v="2026.57"/>
    <s v="DD"/>
    <n v="20.087294117647058"/>
    <n v="85"/>
    <n v="50.218235294117648"/>
    <n v="8.0299999999999994"/>
    <n v="87.881911764705876"/>
    <m/>
  </r>
  <r>
    <x v="31"/>
    <x v="4"/>
    <n v="1458"/>
    <n v="49"/>
    <n v="171.26"/>
    <n v="1458"/>
    <n v="171.26"/>
    <n v="0"/>
    <n v="1629.26"/>
    <n v="311.91000000000003"/>
    <n v="1941.17"/>
    <s v="DD"/>
    <n v="20.11432098765432"/>
    <n v="81"/>
    <n v="90.514444444444436"/>
    <n v="13.58"/>
    <n v="158.40027777777777"/>
    <m/>
  </r>
  <r>
    <x v="32"/>
    <x v="4"/>
    <n v="1485"/>
    <n v="44.5"/>
    <n v="173.56"/>
    <n v="1485"/>
    <n v="173.57"/>
    <n v="-0.01"/>
    <n v="1658.56"/>
    <n v="314.62"/>
    <n v="1973.18"/>
    <s v="DD"/>
    <n v="20.103757575757577"/>
    <n v="82.5"/>
    <n v="45.233454545454549"/>
    <n v="6.79"/>
    <n v="79.158545454545461"/>
    <m/>
  </r>
  <r>
    <x v="33"/>
    <x v="4"/>
    <n v="927"/>
    <n v="80"/>
    <n v="125.67"/>
    <n v="927"/>
    <n v="125.67"/>
    <n v="0"/>
    <n v="1052.67"/>
    <n v="258.33"/>
    <n v="1311"/>
    <s v="DD"/>
    <n v="16"/>
    <n v="106.5"/>
    <n v="212"/>
    <n v="31.8"/>
    <n v="371"/>
    <m/>
  </r>
  <r>
    <x v="34"/>
    <x v="4"/>
    <n v="1872"/>
    <n v="80"/>
    <n v="247.29"/>
    <n v="1872"/>
    <n v="247.29"/>
    <n v="0"/>
    <n v="2119.29"/>
    <n v="357.42"/>
    <n v="2476.71"/>
    <s v="DD"/>
    <n v="20.377788461538461"/>
    <n v="104"/>
    <n v="244.53346153846155"/>
    <n v="34.229999999999997"/>
    <n v="427.93355769230772"/>
    <m/>
  </r>
  <r>
    <x v="35"/>
    <x v="4"/>
    <n v="900"/>
    <n v="50"/>
    <n v="106.08"/>
    <n v="900"/>
    <n v="106.08"/>
    <n v="0"/>
    <n v="1006.08"/>
    <n v="193.81"/>
    <n v="1199.8900000000001"/>
    <s v="DD"/>
    <n v="20.121600000000001"/>
    <n v="50"/>
    <n v="100.608"/>
    <n v="14.09"/>
    <n v="176.06400000000002"/>
    <m/>
  </r>
  <r>
    <x v="16"/>
    <x v="5"/>
    <n v="2217"/>
    <n v="80"/>
    <n v="0"/>
    <n v="2217"/>
    <n v="438.59"/>
    <n v="0"/>
    <n v="2655.59"/>
    <n v="379.8"/>
    <n v="3035.39"/>
    <s v="DD"/>
    <e v="#DIV/0!"/>
    <m/>
    <e v="#DIV/0!"/>
    <e v="#VALUE!"/>
    <e v="#DIV/0!"/>
    <n v="409.55"/>
  </r>
  <r>
    <x v="16"/>
    <x v="5"/>
    <n v="1696"/>
    <n v="80"/>
    <n v="0"/>
    <n v="1746"/>
    <n v="316.35000000000002"/>
    <n v="50"/>
    <n v="2062.35"/>
    <n v="285.10000000000002"/>
    <n v="2347.4499999999998"/>
    <s v="DD"/>
    <e v="#DIV/0!"/>
    <m/>
    <e v="#DIV/0!"/>
    <e v="#VALUE!"/>
    <e v="#DIV/0!"/>
    <m/>
  </r>
  <r>
    <x v="16"/>
    <x v="5"/>
    <n v="1795"/>
    <n v="80"/>
    <n v="0"/>
    <n v="1845"/>
    <n v="336.06"/>
    <n v="50"/>
    <n v="2181.06"/>
    <n v="294.89999999999998"/>
    <n v="2475.96"/>
    <s v="DD"/>
    <e v="#DIV/0!"/>
    <m/>
    <e v="#DIV/0!"/>
    <e v="#VALUE!"/>
    <e v="#DIV/0!"/>
    <m/>
  </r>
  <r>
    <x v="16"/>
    <x v="5"/>
    <n v="1417"/>
    <n v="80"/>
    <n v="0"/>
    <n v="1467"/>
    <n v="260.81"/>
    <n v="50"/>
    <n v="1727.81"/>
    <n v="255.85"/>
    <n v="1983.66"/>
    <s v="DD"/>
    <e v="#DIV/0!"/>
    <m/>
    <e v="#DIV/0!"/>
    <e v="#VALUE!"/>
    <e v="#DIV/0!"/>
    <m/>
  </r>
  <r>
    <x v="16"/>
    <x v="5"/>
    <n v="1420.3"/>
    <n v="79"/>
    <n v="0"/>
    <n v="1777.5"/>
    <n v="322.2"/>
    <n v="35"/>
    <n v="1777.5"/>
    <n v="276.14"/>
    <n v="2053.64"/>
    <s v="DD"/>
    <e v="#DIV/0!"/>
    <m/>
    <e v="#DIV/0!"/>
    <e v="#VALUE!"/>
    <e v="#DIV/0!"/>
    <m/>
  </r>
  <r>
    <x v="16"/>
    <x v="5"/>
    <n v="812.03"/>
    <n v="40"/>
    <n v="360"/>
    <n v="540"/>
    <n v="87.97"/>
    <n v="0"/>
    <n v="900"/>
    <n v="139.82"/>
    <n v="1039.82"/>
    <s v="DD"/>
    <e v="#DIV/0!"/>
    <m/>
    <e v="#DIV/0!"/>
    <e v="#VALUE!"/>
    <e v="#DIV/0!"/>
    <m/>
  </r>
  <r>
    <x v="16"/>
    <x v="5"/>
    <n v="500.02"/>
    <n v="24.63"/>
    <n v="0"/>
    <n v="554.17999999999995"/>
    <n v="54.16"/>
    <n v="0"/>
    <n v="554.17999999999995"/>
    <n v="88.09"/>
    <n v="642.27"/>
    <s v="DD"/>
    <e v="#DIV/0!"/>
    <m/>
    <e v="#DIV/0!"/>
    <e v="#VALUE!"/>
    <e v="#DIV/0!"/>
    <m/>
  </r>
  <r>
    <x v="16"/>
    <x v="5"/>
    <n v="700.39"/>
    <n v="34.5"/>
    <n v="0"/>
    <n v="776.25"/>
    <n v="75.86"/>
    <n v="0"/>
    <n v="776.25"/>
    <n v="123.39"/>
    <n v="899.64"/>
    <s v="DD"/>
    <e v="#DIV/0!"/>
    <m/>
    <e v="#DIV/0!"/>
    <e v="#VALUE!"/>
    <e v="#DIV/0!"/>
    <m/>
  </r>
  <r>
    <x v="16"/>
    <x v="6"/>
    <n v="1008.2"/>
    <n v="80"/>
    <m/>
    <m/>
    <n v="191.8"/>
    <n v="0"/>
    <n v="1200"/>
    <n v="281.26"/>
    <n v="1481.26"/>
    <m/>
    <e v="#DIV/0!"/>
    <m/>
    <e v="#DIV/0!"/>
    <e v="#VALUE!"/>
    <e v="#DIV/0!"/>
    <n v="409.55"/>
  </r>
  <r>
    <x v="16"/>
    <x v="6"/>
    <n v="1008.2"/>
    <n v="80"/>
    <m/>
    <m/>
    <n v="191.8"/>
    <n v="0"/>
    <n v="1200"/>
    <n v="281.26"/>
    <n v="1481.26"/>
    <m/>
    <e v="#DIV/0!"/>
    <m/>
    <e v="#DIV/0!"/>
    <e v="#VALUE!"/>
    <e v="#DIV/0!"/>
    <m/>
  </r>
  <r>
    <x v="16"/>
    <x v="6"/>
    <n v="1008.2"/>
    <n v="80"/>
    <m/>
    <m/>
    <n v="191.8"/>
    <n v="0"/>
    <n v="1200"/>
    <n v="281.26"/>
    <n v="1481.26"/>
    <m/>
    <e v="#DIV/0!"/>
    <m/>
    <e v="#DIV/0!"/>
    <e v="#VALUE!"/>
    <e v="#DIV/0!"/>
    <m/>
  </r>
  <r>
    <x v="16"/>
    <x v="6"/>
    <n v="1038.02"/>
    <n v="80"/>
    <m/>
    <m/>
    <n v="161.97999999999999"/>
    <n v="0"/>
    <n v="1200"/>
    <n v="281.26"/>
    <n v="1481.26"/>
    <s v="DD"/>
    <e v="#DIV/0!"/>
    <m/>
    <e v="#DIV/0!"/>
    <e v="#VALUE!"/>
    <e v="#DIV/0!"/>
    <m/>
  </r>
  <r>
    <x v="16"/>
    <x v="6"/>
    <n v="1038.02"/>
    <n v="80"/>
    <m/>
    <m/>
    <n v="161.97999999999999"/>
    <n v="0"/>
    <n v="1200"/>
    <n v="281.26"/>
    <n v="1481.26"/>
    <s v="DD"/>
    <e v="#DIV/0!"/>
    <m/>
    <e v="#DIV/0!"/>
    <e v="#VALUE!"/>
    <e v="#DIV/0!"/>
    <m/>
  </r>
  <r>
    <x v="16"/>
    <x v="6"/>
    <n v="1038.02"/>
    <n v="80"/>
    <m/>
    <m/>
    <n v="161.97999999999999"/>
    <n v="0"/>
    <n v="1200"/>
    <n v="280.06"/>
    <n v="1480.06"/>
    <s v="DD"/>
    <e v="#DIV/0!"/>
    <m/>
    <e v="#DIV/0!"/>
    <e v="#VALUE!"/>
    <e v="#DIV/0!"/>
    <m/>
  </r>
  <r>
    <x v="16"/>
    <x v="6"/>
    <n v="1038.02"/>
    <n v="80"/>
    <m/>
    <m/>
    <n v="161.97999999999999"/>
    <n v="0"/>
    <n v="1200"/>
    <n v="274.06"/>
    <n v="1474.06"/>
    <s v="DD"/>
    <e v="#DIV/0!"/>
    <m/>
    <e v="#DIV/0!"/>
    <e v="#VALUE!"/>
    <e v="#DIV/0!"/>
    <m/>
  </r>
  <r>
    <x v="16"/>
    <x v="6"/>
    <n v="1038.02"/>
    <n v="80"/>
    <m/>
    <m/>
    <n v="161.97999999999999"/>
    <n v="0"/>
    <n v="1200"/>
    <n v="274.06"/>
    <n v="1474.06"/>
    <s v="DD"/>
    <e v="#DIV/0!"/>
    <m/>
    <e v="#DIV/0!"/>
    <e v="#VALUE!"/>
    <e v="#DIV/0!"/>
    <m/>
  </r>
  <r>
    <x v="16"/>
    <x v="6"/>
    <n v="1038.02"/>
    <n v="80"/>
    <m/>
    <m/>
    <n v="161.97999999999999"/>
    <n v="0"/>
    <n v="1200"/>
    <n v="274.06"/>
    <n v="1474.06"/>
    <s v="DD"/>
    <e v="#DIV/0!"/>
    <m/>
    <e v="#DIV/0!"/>
    <e v="#VALUE!"/>
    <e v="#DIV/0!"/>
    <m/>
  </r>
  <r>
    <x v="16"/>
    <x v="6"/>
    <n v="1038.02"/>
    <n v="80"/>
    <m/>
    <m/>
    <n v="161.97999999999999"/>
    <n v="0"/>
    <n v="1200"/>
    <n v="274.06"/>
    <n v="1474.06"/>
    <s v="DD"/>
    <e v="#DIV/0!"/>
    <m/>
    <e v="#DIV/0!"/>
    <e v="#VALUE!"/>
    <e v="#DIV/0!"/>
    <m/>
  </r>
  <r>
    <x v="16"/>
    <x v="6"/>
    <n v="1038.02"/>
    <n v="80"/>
    <m/>
    <m/>
    <n v="161.97999999999999"/>
    <n v="0"/>
    <n v="1200"/>
    <n v="274.06"/>
    <n v="1474.06"/>
    <s v="DD"/>
    <e v="#DIV/0!"/>
    <m/>
    <e v="#DIV/0!"/>
    <e v="#VALUE!"/>
    <e v="#DIV/0!"/>
    <m/>
  </r>
  <r>
    <x v="16"/>
    <x v="6"/>
    <n v="1038.02"/>
    <n v="80"/>
    <m/>
    <m/>
    <n v="161.97999999999999"/>
    <n v="0"/>
    <n v="1200"/>
    <n v="274.06"/>
    <n v="1474.06"/>
    <s v="DD"/>
    <e v="#DIV/0!"/>
    <m/>
    <e v="#DIV/0!"/>
    <e v="#VALUE!"/>
    <e v="#DIV/0!"/>
    <m/>
  </r>
  <r>
    <x v="16"/>
    <x v="6"/>
    <n v="1038.02"/>
    <n v="80"/>
    <m/>
    <m/>
    <n v="161.97999999999999"/>
    <n v="0"/>
    <n v="1200"/>
    <n v="274.06"/>
    <n v="1474.06"/>
    <s v="DD"/>
    <e v="#DIV/0!"/>
    <m/>
    <e v="#DIV/0!"/>
    <e v="#VALUE!"/>
    <e v="#DIV/0!"/>
    <m/>
  </r>
  <r>
    <x v="16"/>
    <x v="6"/>
    <n v="812.6"/>
    <n v="61"/>
    <m/>
    <m/>
    <n v="102.4"/>
    <n v="0"/>
    <n v="915"/>
    <n v="208.97"/>
    <n v="1123.97"/>
    <s v="DD"/>
    <e v="#DIV/0!"/>
    <m/>
    <e v="#DIV/0!"/>
    <e v="#VALUE!"/>
    <e v="#DIV/0!"/>
    <m/>
  </r>
  <r>
    <x v="16"/>
    <x v="6"/>
    <n v="990.73"/>
    <n v="76"/>
    <m/>
    <m/>
    <n v="149.27000000000001"/>
    <n v="0"/>
    <n v="1140"/>
    <n v="260.35000000000002"/>
    <n v="1400.35"/>
    <s v="DD"/>
    <e v="#DIV/0!"/>
    <m/>
    <e v="#DIV/0!"/>
    <e v="#VALUE!"/>
    <e v="#DIV/0!"/>
    <m/>
  </r>
  <r>
    <x v="16"/>
    <x v="6"/>
    <n v="1038.02"/>
    <n v="80"/>
    <m/>
    <m/>
    <n v="161.97999999999999"/>
    <n v="0"/>
    <n v="1200"/>
    <n v="274.06"/>
    <n v="1474.06"/>
    <s v="DD"/>
    <e v="#DIV/0!"/>
    <m/>
    <e v="#DIV/0!"/>
    <e v="#VALUE!"/>
    <e v="#DIV/0!"/>
    <m/>
  </r>
  <r>
    <x v="10"/>
    <x v="7"/>
    <m/>
    <n v="30"/>
    <m/>
    <m/>
    <m/>
    <m/>
    <m/>
    <m/>
    <m/>
    <m/>
    <n v="25.28"/>
    <n v="30"/>
    <n v="758.40000000000009"/>
    <n v="189.6"/>
    <n v="1327.2000000000003"/>
    <n v="546.07000000000005"/>
  </r>
  <r>
    <x v="11"/>
    <x v="7"/>
    <m/>
    <n v="109"/>
    <m/>
    <m/>
    <m/>
    <m/>
    <m/>
    <m/>
    <m/>
    <m/>
    <n v="25.28"/>
    <n v="109"/>
    <n v="3122.08"/>
    <n v="749.3"/>
    <n v="5463.6399999999994"/>
    <m/>
  </r>
  <r>
    <x v="36"/>
    <x v="7"/>
    <m/>
    <n v="133"/>
    <m/>
    <m/>
    <m/>
    <m/>
    <m/>
    <m/>
    <m/>
    <m/>
    <n v="25.28"/>
    <n v="133"/>
    <n v="4032.16"/>
    <n v="967.72"/>
    <n v="7056.28"/>
    <m/>
  </r>
  <r>
    <x v="13"/>
    <x v="7"/>
    <n v="1126"/>
    <n v="58"/>
    <n v="244.13"/>
    <n v="1520"/>
    <n v="288.13"/>
    <n v="350"/>
    <n v="1764.13"/>
    <n v="338.01"/>
    <n v="2102.14"/>
    <s v="DD"/>
    <n v="21.51378048780488"/>
    <n v="82"/>
    <n v="193.6240243902439"/>
    <n v="44.53"/>
    <n v="338.84204268292683"/>
    <m/>
  </r>
  <r>
    <x v="14"/>
    <x v="7"/>
    <n v="2079"/>
    <n v="80"/>
    <n v="469.46"/>
    <n v="2080"/>
    <n v="470.46"/>
    <n v="0"/>
    <n v="2549.46"/>
    <n v="417.01"/>
    <n v="2966.47"/>
    <s v="DD"/>
    <n v="22.073246753246753"/>
    <n v="115.5"/>
    <n v="391.80012987012987"/>
    <n v="86.2"/>
    <n v="685.65022727272731"/>
    <m/>
  </r>
  <r>
    <x v="15"/>
    <x v="7"/>
    <n v="895.48"/>
    <n v="80"/>
    <n v="465.3"/>
    <n v="1480"/>
    <n v="234.52"/>
    <n v="350"/>
    <n v="1480"/>
    <n v="309.43"/>
    <n v="1789.43"/>
    <s v="DD"/>
    <n v="20.91720430107527"/>
    <n v="93"/>
    <n v="135.96182795698925"/>
    <n v="29.91"/>
    <n v="237.93319892473119"/>
    <m/>
  </r>
  <r>
    <x v="16"/>
    <x v="7"/>
    <n v="1979.96"/>
    <n v="80"/>
    <n v="932.04"/>
    <n v="1480"/>
    <n v="216.04"/>
    <n v="0"/>
    <n v="2196"/>
    <n v="381.46"/>
    <n v="2577.46"/>
    <s v="DD"/>
    <e v="#DIV/0!"/>
    <m/>
    <e v="#DIV/0!"/>
    <e v="#VALUE!"/>
    <e v="#DIV/0!"/>
    <m/>
  </r>
  <r>
    <x v="16"/>
    <x v="7"/>
    <n v="2181"/>
    <n v="80"/>
    <n v="1715.43"/>
    <n v="1480"/>
    <n v="664.43"/>
    <n v="350"/>
    <n v="3195.43"/>
    <n v="478.57"/>
    <n v="3674"/>
    <s v="DD"/>
    <e v="#DIV/0!"/>
    <m/>
    <e v="#DIV/0!"/>
    <e v="#VALUE!"/>
    <e v="#DIV/0!"/>
    <m/>
  </r>
  <r>
    <x v="16"/>
    <x v="7"/>
    <n v="1984"/>
    <n v="80"/>
    <n v="216.39"/>
    <n v="1984"/>
    <n v="216.39"/>
    <n v="0"/>
    <n v="2200.39"/>
    <n v="368.69"/>
    <n v="2569.08"/>
    <s v="DD"/>
    <e v="#DIV/0!"/>
    <m/>
    <e v="#DIV/0!"/>
    <e v="#VALUE!"/>
    <e v="#DIV/0!"/>
    <m/>
  </r>
  <r>
    <x v="16"/>
    <x v="7"/>
    <n v="1802"/>
    <n v="0"/>
    <n v="1802"/>
    <n v="0"/>
    <n v="319.75"/>
    <n v="0"/>
    <n v="2121.75"/>
    <n v="200.71"/>
    <n v="2322.46"/>
    <s v="DD"/>
    <e v="#DIV/0!"/>
    <m/>
    <e v="#DIV/0!"/>
    <e v="#VALUE!"/>
    <e v="#DIV/0!"/>
    <m/>
  </r>
  <r>
    <x v="16"/>
    <x v="7"/>
    <n v="2299"/>
    <n v="80"/>
    <n v="1384.47"/>
    <n v="1480"/>
    <n v="565.47"/>
    <n v="0"/>
    <n v="2864.47"/>
    <n v="431.53"/>
    <n v="3296"/>
    <s v="DD"/>
    <e v="#DIV/0!"/>
    <m/>
    <e v="#DIV/0!"/>
    <e v="#VALUE!"/>
    <e v="#DIV/0!"/>
    <m/>
  </r>
  <r>
    <x v="16"/>
    <x v="7"/>
    <n v="1897"/>
    <n v="80"/>
    <n v="1310.29"/>
    <n v="1480"/>
    <n v="543.29"/>
    <n v="350"/>
    <n v="2790.29"/>
    <n v="424.5"/>
    <n v="3214.79"/>
    <s v="DD"/>
    <e v="#DIV/0!"/>
    <m/>
    <e v="#DIV/0!"/>
    <e v="#VALUE!"/>
    <e v="#DIV/0!"/>
    <m/>
  </r>
  <r>
    <x v="16"/>
    <x v="7"/>
    <n v="1897"/>
    <n v="80"/>
    <n v="823.04"/>
    <n v="1850"/>
    <n v="396.41"/>
    <n v="0"/>
    <n v="2293.41"/>
    <n v="377.49"/>
    <n v="2670.9"/>
    <s v="DD"/>
    <e v="#DIV/0!"/>
    <m/>
    <e v="#DIV/0!"/>
    <e v="#VALUE!"/>
    <e v="#DIV/0!"/>
    <m/>
  </r>
  <r>
    <x v="23"/>
    <x v="7"/>
    <n v="1907"/>
    <n v="59"/>
    <n v="1324.53"/>
    <n v="1480"/>
    <n v="547.53"/>
    <n v="350"/>
    <n v="2804.53"/>
    <n v="421.08"/>
    <n v="3225.61"/>
    <s v="DD"/>
    <n v="47.534406779661012"/>
    <n v="59"/>
    <n v="451.57686440677963"/>
    <n v="81.28"/>
    <n v="790.25951271186432"/>
    <m/>
  </r>
  <r>
    <x v="24"/>
    <x v="7"/>
    <n v="2698"/>
    <n v="80"/>
    <n v="1953.67"/>
    <n v="1480"/>
    <n v="735.67"/>
    <n v="0"/>
    <n v="3433.67"/>
    <n v="479.53"/>
    <n v="3913.2"/>
    <s v="DD"/>
    <n v="35.582072538860103"/>
    <n v="96.5"/>
    <n v="293.55209844559585"/>
    <n v="52.84"/>
    <n v="513.71617227979277"/>
    <m/>
  </r>
  <r>
    <x v="27"/>
    <x v="7"/>
    <n v="2348"/>
    <n v="80"/>
    <n v="1953.66"/>
    <n v="1480"/>
    <n v="735.66"/>
    <n v="350"/>
    <n v="3433.66"/>
    <n v="479.53"/>
    <n v="3913.19"/>
    <s v="DD"/>
    <n v="39.926279069767439"/>
    <n v="86"/>
    <n v="119.77883720930231"/>
    <n v="20.36"/>
    <n v="209.61296511627904"/>
    <m/>
  </r>
  <r>
    <x v="28"/>
    <x v="7"/>
    <n v="2163"/>
    <n v="56"/>
    <n v="1190.44"/>
    <n v="1480"/>
    <n v="507.44"/>
    <n v="0"/>
    <n v="2670.44"/>
    <n v="408.62"/>
    <n v="3079.06"/>
    <s v="DD"/>
    <n v="39.271176470588237"/>
    <n v="68"/>
    <n v="314.1694117647059"/>
    <n v="53.41"/>
    <n v="549.79647058823537"/>
    <m/>
  </r>
  <r>
    <x v="29"/>
    <x v="7"/>
    <n v="2821"/>
    <n v="80"/>
    <n v="2009.25"/>
    <n v="1480"/>
    <n v="318.25"/>
    <n v="350"/>
    <n v="3489.25"/>
    <n v="484.69"/>
    <n v="3973.94"/>
    <s v="DD"/>
    <n v="23.107615894039736"/>
    <n v="151"/>
    <n v="820.32036423841066"/>
    <n v="131.25"/>
    <n v="1435.5606374172187"/>
    <m/>
  </r>
  <r>
    <x v="30"/>
    <x v="7"/>
    <n v="2038"/>
    <n v="80"/>
    <n v="747.64"/>
    <n v="2000"/>
    <n v="259.64"/>
    <n v="450"/>
    <n v="2747.64"/>
    <n v="415.8"/>
    <n v="3163.44"/>
    <s v="DD"/>
    <n v="23.186835443037975"/>
    <n v="118.5"/>
    <n v="446.34658227848104"/>
    <n v="71.42"/>
    <n v="781.10651898734181"/>
    <m/>
  </r>
  <r>
    <x v="31"/>
    <x v="7"/>
    <n v="1341"/>
    <n v="80"/>
    <n v="0"/>
    <n v="2294.69"/>
    <n v="278.69"/>
    <n v="675"/>
    <n v="2294.69"/>
    <n v="373.72"/>
    <n v="2668.41"/>
    <s v="DD"/>
    <n v="23.903020833333333"/>
    <n v="96"/>
    <n v="191.22416666666666"/>
    <n v="28.68"/>
    <n v="334.64229166666667"/>
    <m/>
  </r>
  <r>
    <x v="32"/>
    <x v="7"/>
    <n v="2285"/>
    <n v="80"/>
    <n v="427.52"/>
    <n v="2635"/>
    <n v="427.56"/>
    <n v="349.96"/>
    <n v="3062.52"/>
    <n v="445.04"/>
    <n v="3507.56"/>
    <s v="DD"/>
    <n v="24.697741935483872"/>
    <n v="124"/>
    <n v="543.35032258064518"/>
    <n v="81.5"/>
    <n v="950.86306451612904"/>
    <m/>
  </r>
  <r>
    <x v="33"/>
    <x v="7"/>
    <n v="1626"/>
    <n v="80"/>
    <n v="325.94"/>
    <n v="2226"/>
    <n v="325.94"/>
    <n v="600"/>
    <n v="2551.94"/>
    <n v="397.61"/>
    <n v="2949.55"/>
    <s v="DD"/>
    <n v="22.385438596491227"/>
    <n v="114"/>
    <n v="380.55245614035084"/>
    <n v="57.08"/>
    <n v="665.96679824561397"/>
    <m/>
  </r>
  <r>
    <x v="34"/>
    <x v="7"/>
    <n v="1876"/>
    <n v="80"/>
    <n v="325.94"/>
    <n v="2226"/>
    <n v="325.94"/>
    <n v="350"/>
    <n v="2551.94"/>
    <n v="397.61"/>
    <n v="2949.55"/>
    <s v="DD"/>
    <n v="22.990450450450449"/>
    <n v="111"/>
    <n v="356.35198198198196"/>
    <n v="49.89"/>
    <n v="623.6159684684684"/>
    <m/>
  </r>
  <r>
    <x v="35"/>
    <x v="7"/>
    <n v="1921"/>
    <n v="80"/>
    <n v="257.98"/>
    <n v="1921"/>
    <n v="257.98"/>
    <n v="0"/>
    <n v="2178.98"/>
    <n v="336.06"/>
    <n v="2515.04"/>
    <s v="DD"/>
    <n v="20.269581395348837"/>
    <n v="107.5"/>
    <n v="278.70674418604654"/>
    <n v="39.020000000000003"/>
    <n v="487.73680232558144"/>
    <m/>
  </r>
  <r>
    <x v="37"/>
    <x v="7"/>
    <n v="2254"/>
    <n v="80"/>
    <n v="419.86"/>
    <n v="2604"/>
    <n v="419.86"/>
    <n v="350"/>
    <n v="3023.86"/>
    <n v="391.86"/>
    <n v="3415.72"/>
    <s v="DD"/>
    <n v="24.385967741935485"/>
    <n v="124"/>
    <n v="536.49129032258065"/>
    <n v="69.739999999999995"/>
    <n v="938.8597580645162"/>
    <m/>
  </r>
  <r>
    <x v="38"/>
    <x v="7"/>
    <n v="2730"/>
    <n v="80"/>
    <n v="451.18"/>
    <n v="2730"/>
    <n v="451.18"/>
    <n v="0"/>
    <n v="3181.18"/>
    <n v="403.9"/>
    <n v="3585.08"/>
    <s v="DD"/>
    <n v="25.247460317460316"/>
    <n v="126"/>
    <n v="580.69158730158722"/>
    <n v="75.489999999999995"/>
    <n v="1016.2102777777776"/>
    <m/>
  </r>
  <r>
    <x v="39"/>
    <x v="7"/>
    <n v="1603"/>
    <n v="80"/>
    <n v="264.95999999999998"/>
    <n v="1953"/>
    <n v="264.95999999999998"/>
    <n v="350"/>
    <n v="2217.96"/>
    <n v="330.22"/>
    <n v="2548.1799999999998"/>
    <s v="DD"/>
    <n v="23.849032258064515"/>
    <n v="93"/>
    <n v="155.01870967741934"/>
    <n v="18.600000000000001"/>
    <n v="271.28274193548384"/>
    <m/>
  </r>
  <r>
    <x v="40"/>
    <x v="7"/>
    <n v="2425"/>
    <n v="80"/>
    <n v="375.38"/>
    <n v="2425"/>
    <n v="375.38"/>
    <n v="0"/>
    <n v="2800.38"/>
    <n v="374.77"/>
    <n v="3175.15"/>
    <s v="DD"/>
    <n v="25.115515695067266"/>
    <n v="111.5"/>
    <n v="395.56937219730946"/>
    <n v="47.47"/>
    <n v="692.24640134529159"/>
    <m/>
  </r>
  <r>
    <x v="41"/>
    <x v="7"/>
    <n v="1680"/>
    <n v="41"/>
    <n v="205.42"/>
    <n v="1680"/>
    <n v="205.42"/>
    <n v="0"/>
    <n v="1885.42"/>
    <n v="304.77"/>
    <n v="2190.19"/>
    <s v="DD"/>
    <n v="23.56775"/>
    <n v="80"/>
    <n v="11.783875"/>
    <n v="1.3"/>
    <n v="20.621781250000002"/>
    <m/>
  </r>
  <r>
    <x v="42"/>
    <x v="7"/>
    <n v="977"/>
    <n v="47.5"/>
    <n v="129.97999999999999"/>
    <n v="977"/>
    <n v="129.97999999999999"/>
    <n v="0"/>
    <n v="1106.98"/>
    <n v="245.23"/>
    <n v="1352.21"/>
    <s v="DD"/>
    <n v="23.304842105263159"/>
    <n v="47.5"/>
    <n v="87.393157894736845"/>
    <n v="9.61"/>
    <n v="152.93802631578947"/>
    <m/>
  </r>
  <r>
    <x v="43"/>
    <x v="7"/>
    <n v="2226"/>
    <n v="80"/>
    <n v="325.94"/>
    <n v="2226"/>
    <n v="325.94"/>
    <n v="0"/>
    <n v="2551.94"/>
    <n v="355.76"/>
    <n v="2907.7"/>
    <s v="DD"/>
    <n v="24.074905660377357"/>
    <n v="106"/>
    <n v="312.97377358490564"/>
    <n v="31.3"/>
    <n v="547.70410377358485"/>
    <m/>
  </r>
  <r>
    <x v="44"/>
    <x v="7"/>
    <n v="1892"/>
    <n v="55"/>
    <n v="247.44"/>
    <n v="1892"/>
    <n v="247.44"/>
    <n v="0"/>
    <n v="2139.44"/>
    <n v="372.14"/>
    <n v="2511.58"/>
    <s v="DD"/>
    <n v="24.877209302325582"/>
    <n v="86"/>
    <n v="186.57906976744187"/>
    <n v="18.66"/>
    <n v="326.51337209302324"/>
    <m/>
  </r>
  <r>
    <x v="45"/>
    <x v="7"/>
    <n v="2310"/>
    <n v="80"/>
    <n v="0"/>
    <n v="2310"/>
    <n v="277.97000000000003"/>
    <n v="0"/>
    <n v="2587.9699999999998"/>
    <n v="389"/>
    <n v="2976.97"/>
    <s v="DD"/>
    <n v="21.095890410958905"/>
    <n v="109.5"/>
    <n v="311.16438356164383"/>
    <n v="28"/>
    <n v="544.53767123287673"/>
    <m/>
  </r>
  <r>
    <x v="46"/>
    <x v="7"/>
    <n v="2205"/>
    <n v="80"/>
    <n v="0"/>
    <n v="2205"/>
    <n v="259.17"/>
    <n v="0"/>
    <n v="2464.17"/>
    <n v="378.61"/>
    <n v="2842.78"/>
    <s v="DD"/>
    <n v="21"/>
    <n v="105"/>
    <n v="262.5"/>
    <n v="23.63"/>
    <n v="459.375"/>
    <m/>
  </r>
  <r>
    <x v="47"/>
    <x v="7"/>
    <n v="2226"/>
    <n v="80"/>
    <n v="0"/>
    <n v="2226"/>
    <n v="254.11"/>
    <n v="0"/>
    <n v="2480.11"/>
    <n v="321.29000000000002"/>
    <n v="2801.4"/>
    <s v="DD"/>
    <n v="21"/>
    <n v="106"/>
    <n v="273"/>
    <n v="21.84"/>
    <n v="477.75"/>
    <m/>
  </r>
  <r>
    <x v="48"/>
    <x v="7"/>
    <n v="2310"/>
    <n v="80"/>
    <n v="0"/>
    <n v="2310"/>
    <n v="269.14"/>
    <n v="0"/>
    <n v="2579.14"/>
    <n v="327.02"/>
    <n v="2906.16"/>
    <s v="DD"/>
    <n v="21"/>
    <n v="110"/>
    <n v="315"/>
    <n v="25.2"/>
    <n v="551.25"/>
    <m/>
  </r>
  <r>
    <x v="49"/>
    <x v="7"/>
    <n v="2215"/>
    <n v="80"/>
    <n v="0"/>
    <n v="2215"/>
    <n v="252.14"/>
    <n v="0"/>
    <n v="2467.14"/>
    <n v="318.19"/>
    <n v="2785.33"/>
    <s v="DD"/>
    <n v="20.995260663507111"/>
    <n v="105.5"/>
    <n v="267.68957345971569"/>
    <n v="21.42"/>
    <n v="468.45675355450248"/>
    <m/>
  </r>
  <r>
    <x v="50"/>
    <x v="7"/>
    <n v="1050"/>
    <n v="50"/>
    <n v="0"/>
    <n v="1050"/>
    <n v="104.03"/>
    <n v="0"/>
    <n v="1154.03"/>
    <n v="167.8"/>
    <n v="1321.83"/>
    <s v="DD"/>
    <n v="21"/>
    <n v="50"/>
    <n v="0"/>
    <n v="0"/>
    <n v="0"/>
    <m/>
  </r>
  <r>
    <x v="16"/>
    <x v="8"/>
    <n v="2929"/>
    <n v="80"/>
    <n v="257.64"/>
    <n v="2960"/>
    <n v="288.64"/>
    <n v="0"/>
    <n v="3217.64"/>
    <n v="484.24"/>
    <n v="3701.88"/>
    <s v="DD"/>
    <e v="#DIV/0!"/>
    <m/>
    <e v="#DIV/0!"/>
    <e v="#VALUE!"/>
    <e v="#DIV/0!"/>
    <n v="409.55"/>
  </r>
  <r>
    <x v="16"/>
    <x v="8"/>
    <n v="1703"/>
    <n v="70.5"/>
    <n v="185.87"/>
    <n v="2256"/>
    <n v="538.87"/>
    <n v="200"/>
    <n v="2441.87"/>
    <n v="387.12"/>
    <n v="2828.99"/>
    <s v="DD"/>
    <e v="#DIV/0!"/>
    <m/>
    <e v="#DIV/0!"/>
    <e v="#VALUE!"/>
    <e v="#DIV/0!"/>
    <m/>
  </r>
  <r>
    <x v="16"/>
    <x v="8"/>
    <n v="3064"/>
    <n v="102"/>
    <n v="1074.73"/>
    <n v="3060"/>
    <n v="1070.73"/>
    <n v="0"/>
    <n v="4134.7299999999996"/>
    <n v="603.87"/>
    <n v="4738.6000000000004"/>
    <n v="100112"/>
    <e v="#DIV/0!"/>
    <m/>
    <e v="#DIV/0!"/>
    <e v="#VALUE!"/>
    <e v="#DIV/0!"/>
    <m/>
  </r>
  <r>
    <x v="16"/>
    <x v="8"/>
    <n v="2687"/>
    <n v="80"/>
    <n v="296.02999999999997"/>
    <n v="2912"/>
    <n v="296.02999999999997"/>
    <n v="225"/>
    <n v="3208.03"/>
    <n v="483.27"/>
    <n v="3691.3"/>
    <s v="DD"/>
    <e v="#DIV/0!"/>
    <m/>
    <e v="#DIV/0!"/>
    <e v="#VALUE!"/>
    <e v="#DIV/0!"/>
    <m/>
  </r>
  <r>
    <x v="16"/>
    <x v="8"/>
    <n v="2996"/>
    <n v="0"/>
    <n v="2996"/>
    <n v="0"/>
    <n v="966.14"/>
    <n v="0"/>
    <n v="3962.14"/>
    <n v="397.57"/>
    <n v="4359.71"/>
    <s v="DD"/>
    <e v="#DIV/0!"/>
    <m/>
    <e v="#DIV/0!"/>
    <e v="#VALUE!"/>
    <e v="#DIV/0!"/>
    <m/>
  </r>
  <r>
    <x v="16"/>
    <x v="8"/>
    <n v="3122"/>
    <n v="80"/>
    <n v="1809.59"/>
    <n v="2400"/>
    <n v="1087.5899999999999"/>
    <n v="0"/>
    <n v="4209.59"/>
    <n v="558.77"/>
    <n v="4768.3599999999997"/>
    <s v="DD"/>
    <e v="#DIV/0!"/>
    <m/>
    <e v="#DIV/0!"/>
    <e v="#VALUE!"/>
    <e v="#DIV/0!"/>
    <m/>
  </r>
  <r>
    <x v="16"/>
    <x v="8"/>
    <n v="3080"/>
    <n v="80"/>
    <n v="1747.88"/>
    <n v="2400"/>
    <n v="1067.8800000000001"/>
    <n v="0"/>
    <n v="4147.88"/>
    <n v="552.91"/>
    <n v="4700.79"/>
    <s v="DD"/>
    <e v="#DIV/0!"/>
    <m/>
    <e v="#DIV/0!"/>
    <e v="#VALUE!"/>
    <e v="#DIV/0!"/>
    <m/>
  </r>
  <r>
    <x v="16"/>
    <x v="8"/>
    <n v="3080"/>
    <n v="80"/>
    <n v="1747.93"/>
    <n v="2400"/>
    <n v="1067.93"/>
    <n v="0"/>
    <n v="4147.93"/>
    <n v="552.95000000000005"/>
    <n v="4700.88"/>
    <s v="DD"/>
    <e v="#DIV/0!"/>
    <m/>
    <e v="#DIV/0!"/>
    <e v="#VALUE!"/>
    <e v="#DIV/0!"/>
    <m/>
  </r>
  <r>
    <x v="28"/>
    <x v="8"/>
    <n v="1039"/>
    <n v="40"/>
    <n v="294.92"/>
    <n v="1530"/>
    <n v="345.92"/>
    <n v="440"/>
    <n v="1824.92"/>
    <n v="271.86"/>
    <n v="2096.7800000000002"/>
    <s v="DD"/>
    <n v="45.623000000000005"/>
    <n v="40"/>
    <n v="0"/>
    <n v="0"/>
    <n v="0"/>
    <n v="546.07000000000005"/>
  </r>
  <r>
    <x v="29"/>
    <x v="8"/>
    <n v="2760"/>
    <n v="80"/>
    <n v="1392.93"/>
    <n v="2400"/>
    <n v="572.92999999999995"/>
    <n v="460"/>
    <n v="3792.93"/>
    <n v="512.9"/>
    <n v="4305.83"/>
    <s v="DD"/>
    <n v="32.981999999999999"/>
    <n v="115"/>
    <n v="577.18499999999995"/>
    <n v="92.35"/>
    <n v="1010.0737499999999"/>
    <m/>
  </r>
  <r>
    <x v="30"/>
    <x v="8"/>
    <n v="508"/>
    <n v="70.5"/>
    <n v="25.47"/>
    <n v="780"/>
    <n v="77.47"/>
    <n v="220"/>
    <n v="805.47"/>
    <n v="127"/>
    <n v="932.47"/>
    <s v="DD"/>
    <n v="16"/>
    <n v="70.5"/>
    <n v="0"/>
    <n v="0"/>
    <n v="0"/>
    <m/>
  </r>
  <r>
    <x v="51"/>
    <x v="9"/>
    <m/>
    <n v="68.5"/>
    <m/>
    <m/>
    <m/>
    <m/>
    <m/>
    <m/>
    <m/>
    <m/>
    <n v="31.03"/>
    <n v="68.5"/>
    <n v="2125.5550000000003"/>
    <n v="340.09"/>
    <n v="3719.7212500000005"/>
    <m/>
  </r>
  <r>
    <x v="32"/>
    <x v="8"/>
    <n v="2310"/>
    <n v="80"/>
    <n v="431.05"/>
    <n v="2800"/>
    <n v="461.1"/>
    <n v="459.95"/>
    <n v="3231.05"/>
    <n v="460.71"/>
    <n v="3691.76"/>
    <s v="DD"/>
    <n v="30.196728971962617"/>
    <n v="107"/>
    <n v="407.65584112149531"/>
    <n v="61.15"/>
    <n v="713.39772196261674"/>
    <m/>
  </r>
  <r>
    <x v="33"/>
    <x v="8"/>
    <n v="2450"/>
    <n v="80"/>
    <n v="416.4"/>
    <n v="2590"/>
    <n v="416.4"/>
    <n v="140"/>
    <n v="3006.4"/>
    <n v="439.84"/>
    <n v="3446.24"/>
    <s v="DD"/>
    <n v="30.36767676767677"/>
    <n v="99"/>
    <n v="288.49292929292932"/>
    <n v="43.27"/>
    <n v="504.86262626262629"/>
    <m/>
  </r>
  <r>
    <x v="52"/>
    <x v="8"/>
    <m/>
    <n v="134"/>
    <m/>
    <m/>
    <m/>
    <m/>
    <m/>
    <m/>
    <m/>
    <m/>
    <n v="31.03"/>
    <n v="134"/>
    <n v="4995.83"/>
    <n v="699.42"/>
    <n v="8742.7024999999994"/>
    <m/>
  </r>
  <r>
    <x v="25"/>
    <x v="8"/>
    <m/>
    <n v="93.5"/>
    <m/>
    <m/>
    <m/>
    <m/>
    <m/>
    <m/>
    <m/>
    <m/>
    <n v="31.03"/>
    <n v="93.5"/>
    <n v="3118.5150000000003"/>
    <n v="436.59"/>
    <n v="5457.4012500000008"/>
    <m/>
  </r>
  <r>
    <x v="53"/>
    <x v="8"/>
    <m/>
    <n v="99.5"/>
    <m/>
    <m/>
    <m/>
    <m/>
    <m/>
    <m/>
    <m/>
    <m/>
    <n v="31.03"/>
    <n v="99.5"/>
    <n v="3397.7850000000003"/>
    <n v="441.71"/>
    <n v="5946.1237500000007"/>
    <m/>
  </r>
  <r>
    <x v="54"/>
    <x v="10"/>
    <m/>
    <n v="36"/>
    <m/>
    <m/>
    <m/>
    <m/>
    <m/>
    <m/>
    <m/>
    <m/>
    <n v="25.75"/>
    <n v="36"/>
    <n v="927"/>
    <n v="305.91000000000003"/>
    <n v="1622.25"/>
    <n v="546.07000000000005"/>
  </r>
  <r>
    <x v="55"/>
    <x v="10"/>
    <m/>
    <n v="53"/>
    <m/>
    <m/>
    <m/>
    <m/>
    <m/>
    <m/>
    <m/>
    <m/>
    <n v="25.75"/>
    <n v="53"/>
    <n v="1364.75"/>
    <n v="436.72"/>
    <n v="2388.3125"/>
    <m/>
  </r>
  <r>
    <x v="56"/>
    <x v="10"/>
    <m/>
    <n v="106"/>
    <m/>
    <m/>
    <m/>
    <m/>
    <m/>
    <m/>
    <m/>
    <m/>
    <n v="25.75"/>
    <n v="106"/>
    <n v="3064.25"/>
    <n v="949.92"/>
    <n v="5362.4375"/>
    <m/>
  </r>
  <r>
    <x v="57"/>
    <x v="10"/>
    <m/>
    <n v="106"/>
    <m/>
    <m/>
    <m/>
    <m/>
    <m/>
    <m/>
    <m/>
    <m/>
    <n v="25.75"/>
    <n v="106"/>
    <n v="3064.25"/>
    <n v="949.92"/>
    <n v="5362.4375"/>
    <m/>
  </r>
  <r>
    <x v="58"/>
    <x v="10"/>
    <m/>
    <n v="106"/>
    <m/>
    <m/>
    <m/>
    <m/>
    <m/>
    <m/>
    <m/>
    <m/>
    <n v="25.75"/>
    <n v="106"/>
    <n v="3064.25"/>
    <n v="919.28"/>
    <n v="5362.4375"/>
    <m/>
  </r>
  <r>
    <x v="59"/>
    <x v="10"/>
    <m/>
    <n v="103"/>
    <m/>
    <m/>
    <m/>
    <m/>
    <m/>
    <m/>
    <m/>
    <m/>
    <n v="25.75"/>
    <n v="103"/>
    <n v="2948.375"/>
    <n v="884.51"/>
    <n v="5159.65625"/>
    <m/>
  </r>
  <r>
    <x v="0"/>
    <x v="10"/>
    <m/>
    <n v="92"/>
    <m/>
    <m/>
    <m/>
    <m/>
    <m/>
    <m/>
    <m/>
    <m/>
    <n v="25.75"/>
    <n v="92"/>
    <n v="2523.5"/>
    <n v="731.82"/>
    <n v="4416.125"/>
    <m/>
  </r>
  <r>
    <x v="1"/>
    <x v="10"/>
    <m/>
    <n v="106"/>
    <m/>
    <m/>
    <m/>
    <m/>
    <m/>
    <m/>
    <m/>
    <m/>
    <n v="25.75"/>
    <n v="106"/>
    <n v="3064.25"/>
    <n v="888.63"/>
    <n v="5362.4375"/>
    <m/>
  </r>
  <r>
    <x v="2"/>
    <x v="10"/>
    <m/>
    <n v="103"/>
    <m/>
    <m/>
    <m/>
    <m/>
    <m/>
    <m/>
    <m/>
    <m/>
    <n v="25.75"/>
    <n v="103"/>
    <n v="2948.375"/>
    <n v="825.55"/>
    <n v="5159.65625"/>
    <m/>
  </r>
  <r>
    <x v="3"/>
    <x v="10"/>
    <m/>
    <n v="72"/>
    <m/>
    <m/>
    <m/>
    <m/>
    <m/>
    <m/>
    <m/>
    <m/>
    <n v="25.75"/>
    <n v="72"/>
    <n v="1854"/>
    <n v="519.12"/>
    <n v="3244.5"/>
    <m/>
  </r>
  <r>
    <x v="4"/>
    <x v="10"/>
    <m/>
    <n v="87"/>
    <m/>
    <m/>
    <m/>
    <m/>
    <m/>
    <m/>
    <m/>
    <m/>
    <n v="25.75"/>
    <n v="87"/>
    <n v="2330.375"/>
    <n v="629.20000000000005"/>
    <n v="4078.15625"/>
    <m/>
  </r>
  <r>
    <x v="5"/>
    <x v="10"/>
    <m/>
    <n v="89"/>
    <m/>
    <m/>
    <m/>
    <m/>
    <m/>
    <m/>
    <m/>
    <m/>
    <n v="25.75"/>
    <n v="89"/>
    <n v="2407.625"/>
    <n v="650.05999999999995"/>
    <n v="4213.34375"/>
    <m/>
  </r>
  <r>
    <x v="6"/>
    <x v="10"/>
    <m/>
    <n v="45"/>
    <m/>
    <m/>
    <m/>
    <m/>
    <m/>
    <m/>
    <m/>
    <m/>
    <n v="25.75"/>
    <n v="45"/>
    <n v="1223.125"/>
    <n v="318.01"/>
    <n v="2140.46875"/>
    <m/>
  </r>
  <r>
    <x v="7"/>
    <x v="10"/>
    <m/>
    <n v="83"/>
    <m/>
    <m/>
    <m/>
    <m/>
    <m/>
    <m/>
    <m/>
    <m/>
    <n v="25.75"/>
    <n v="83"/>
    <n v="2175.875"/>
    <n v="565.73"/>
    <n v="3807.78125"/>
    <m/>
  </r>
  <r>
    <x v="8"/>
    <x v="10"/>
    <m/>
    <n v="112"/>
    <m/>
    <m/>
    <m/>
    <m/>
    <m/>
    <m/>
    <m/>
    <m/>
    <n v="25.75"/>
    <n v="112"/>
    <n v="3296"/>
    <n v="824"/>
    <n v="5768"/>
    <m/>
  </r>
  <r>
    <x v="9"/>
    <x v="10"/>
    <m/>
    <n v="99.75"/>
    <m/>
    <m/>
    <m/>
    <m/>
    <m/>
    <m/>
    <m/>
    <m/>
    <n v="25.75"/>
    <n v="99.75"/>
    <n v="2822.84375"/>
    <n v="705.71"/>
    <n v="4939.9765625"/>
    <m/>
  </r>
  <r>
    <x v="10"/>
    <x v="10"/>
    <m/>
    <n v="117"/>
    <m/>
    <m/>
    <m/>
    <m/>
    <m/>
    <m/>
    <m/>
    <m/>
    <n v="25.75"/>
    <n v="117"/>
    <n v="3489.125"/>
    <n v="872.28"/>
    <n v="6105.96875"/>
    <m/>
  </r>
  <r>
    <x v="11"/>
    <x v="10"/>
    <m/>
    <n v="102"/>
    <m/>
    <m/>
    <m/>
    <m/>
    <m/>
    <m/>
    <m/>
    <m/>
    <n v="25.75"/>
    <n v="102"/>
    <n v="2909.75"/>
    <n v="698.34"/>
    <n v="5092.0625"/>
    <m/>
  </r>
  <r>
    <x v="12"/>
    <x v="10"/>
    <n v="2112"/>
    <n v="80"/>
    <n v="172.96"/>
    <n v="2160"/>
    <n v="220.96"/>
    <n v="0"/>
    <n v="2332.96"/>
    <n v="395.24"/>
    <n v="2728.2"/>
    <s v="DD"/>
    <n v="24.301666666666666"/>
    <n v="96"/>
    <n v="194.41333333333333"/>
    <n v="44.72"/>
    <n v="340.2233333333333"/>
    <m/>
  </r>
  <r>
    <x v="13"/>
    <x v="10"/>
    <n v="1233"/>
    <n v="45"/>
    <n v="31.39"/>
    <n v="1725"/>
    <n v="238.39"/>
    <n v="285"/>
    <n v="1756.39"/>
    <n v="315.16000000000003"/>
    <n v="2071.5500000000002"/>
    <s v="DD"/>
    <n v="25.454927536231885"/>
    <n v="69"/>
    <n v="63.637318840579709"/>
    <n v="14.64"/>
    <n v="111.36530797101449"/>
    <m/>
  </r>
  <r>
    <x v="60"/>
    <x v="10"/>
    <n v="2112"/>
    <n v="96"/>
    <n v="400.01"/>
    <n v="2112"/>
    <n v="400.01"/>
    <n v="0"/>
    <n v="2512.0100000000002"/>
    <n v="445.33"/>
    <n v="2957.34"/>
    <n v="100111"/>
    <n v="26.166770833333334"/>
    <n v="96"/>
    <n v="209.33416666666668"/>
    <n v="48.15"/>
    <n v="366.33479166666666"/>
    <m/>
  </r>
  <r>
    <x v="15"/>
    <x v="10"/>
    <n v="330"/>
    <n v="15"/>
    <n v="36.97"/>
    <n v="330"/>
    <n v="36.97"/>
    <n v="0"/>
    <n v="366.97"/>
    <n v="67.010000000000005"/>
    <n v="433.98"/>
    <n v="100124"/>
    <n v="24.46466666666667"/>
    <n v="15"/>
    <n v="0"/>
    <n v="0"/>
    <n v="0"/>
    <m/>
  </r>
  <r>
    <x v="17"/>
    <x v="10"/>
    <n v="986"/>
    <n v="62"/>
    <n v="279.10000000000002"/>
    <n v="1364"/>
    <n v="217.1"/>
    <n v="440"/>
    <n v="1643.1"/>
    <n v="289.72000000000003"/>
    <n v="1932.82"/>
    <n v="100144"/>
    <n v="26.501612903225805"/>
    <n v="62"/>
    <n v="291.51774193548385"/>
    <n v="61.22"/>
    <n v="510.15604838709675"/>
    <m/>
  </r>
  <r>
    <x v="18"/>
    <x v="10"/>
    <n v="2132"/>
    <n v="80"/>
    <n v="248.4"/>
    <n v="2357"/>
    <n v="248.4"/>
    <n v="225"/>
    <n v="2605.4"/>
    <n v="422.64"/>
    <n v="3028.04"/>
    <s v="DD"/>
    <n v="25.418536585365853"/>
    <n v="102.5"/>
    <n v="285.95853658536583"/>
    <n v="60.05"/>
    <n v="500.4274390243902"/>
    <m/>
  </r>
  <r>
    <x v="19"/>
    <x v="10"/>
    <n v="2219"/>
    <n v="0"/>
    <n v="367.97"/>
    <n v="2219"/>
    <n v="367.97"/>
    <n v="0"/>
    <n v="2586.9699999999998"/>
    <n v="259.04000000000002"/>
    <n v="2846.01"/>
    <s v="DD"/>
    <n v="26.807979274611402"/>
    <n v="96.5"/>
    <n v="221.16582901554406"/>
    <n v="44.23"/>
    <n v="387.04020077720213"/>
    <m/>
  </r>
  <r>
    <x v="20"/>
    <x v="10"/>
    <n v="2150"/>
    <n v="80"/>
    <n v="793.87"/>
    <n v="1760"/>
    <n v="403.87"/>
    <n v="0"/>
    <n v="2553.87"/>
    <n v="402.14"/>
    <n v="2956.01"/>
    <s v="DD"/>
    <n v="27.314117647058822"/>
    <n v="93.5"/>
    <n v="184.37029411764706"/>
    <n v="36.869999999999997"/>
    <n v="322.64801470588236"/>
    <m/>
  </r>
  <r>
    <x v="21"/>
    <x v="10"/>
    <n v="2093"/>
    <n v="80"/>
    <n v="722.71"/>
    <n v="1760"/>
    <n v="389.71"/>
    <n v="0"/>
    <n v="2482.71"/>
    <n v="395.41"/>
    <n v="2878.12"/>
    <s v="DD"/>
    <n v="27.282527472527473"/>
    <n v="91"/>
    <n v="150.05390109890109"/>
    <n v="28.51"/>
    <n v="262.59432692307689"/>
    <m/>
  </r>
  <r>
    <x v="22"/>
    <x v="10"/>
    <n v="2093"/>
    <n v="80"/>
    <n v="722.71"/>
    <n v="1760"/>
    <n v="389.71"/>
    <n v="0"/>
    <n v="2482.71"/>
    <n v="395.41"/>
    <n v="2878.12"/>
    <s v="DD"/>
    <n v="28.212613636363638"/>
    <n v="88"/>
    <n v="112.85045454545455"/>
    <n v="21.44"/>
    <n v="197.48829545454547"/>
    <m/>
  </r>
  <r>
    <x v="23"/>
    <x v="10"/>
    <n v="2024"/>
    <n v="80"/>
    <n v="636.53"/>
    <n v="1760"/>
    <n v="372.53"/>
    <n v="0"/>
    <n v="2396.5300000000002"/>
    <n v="383.16"/>
    <n v="2779.69"/>
    <s v="DD"/>
    <n v="27.233295454545452"/>
    <n v="88"/>
    <n v="108.93318181818181"/>
    <n v="19.61"/>
    <n v="190.63306818181817"/>
    <m/>
  </r>
  <r>
    <x v="24"/>
    <x v="10"/>
    <n v="2024"/>
    <n v="80"/>
    <n v="636.54999999999995"/>
    <n v="1760"/>
    <n v="372.55"/>
    <n v="0"/>
    <n v="2396.5500000000002"/>
    <n v="383.19"/>
    <n v="2779.74"/>
    <n v="100175"/>
    <n v="27.233522727272728"/>
    <n v="88"/>
    <n v="108.93409090909091"/>
    <n v="19.61"/>
    <n v="190.63465909090911"/>
    <m/>
  </r>
  <r>
    <x v="27"/>
    <x v="10"/>
    <n v="828"/>
    <n v="52"/>
    <n v="127.82"/>
    <n v="792"/>
    <n v="91.82"/>
    <n v="0"/>
    <n v="919.82"/>
    <n v="157.69"/>
    <n v="1077.51"/>
    <s v="DD"/>
    <n v="17.688846153846153"/>
    <n v="52"/>
    <n v="106.13307692307691"/>
    <n v="18.04"/>
    <n v="185.73288461538459"/>
    <m/>
  </r>
  <r>
    <x v="28"/>
    <x v="10"/>
    <n v="2058"/>
    <n v="80"/>
    <n v="679.01"/>
    <n v="1760"/>
    <n v="381.01"/>
    <n v="0"/>
    <n v="2439.0100000000002"/>
    <n v="387.13"/>
    <n v="2826.14"/>
    <s v="DD"/>
    <n v="27.251508379888271"/>
    <n v="89.5"/>
    <n v="129.44466480446928"/>
    <n v="22.01"/>
    <n v="226.52816340782124"/>
    <m/>
  </r>
  <r>
    <x v="29"/>
    <x v="10"/>
    <n v="2587"/>
    <n v="80"/>
    <n v="1242.6500000000001"/>
    <n v="1760"/>
    <n v="415.65"/>
    <n v="0"/>
    <n v="3002.65"/>
    <n v="439.48"/>
    <n v="3442.13"/>
    <s v="DD"/>
    <n v="26.690222222222221"/>
    <n v="112.5"/>
    <n v="433.7161111111111"/>
    <n v="69.39"/>
    <n v="759.00319444444449"/>
    <m/>
  </r>
  <r>
    <x v="30"/>
    <x v="10"/>
    <n v="1288"/>
    <n v="56"/>
    <n v="198.81"/>
    <n v="1232"/>
    <n v="142.81"/>
    <n v="0"/>
    <n v="1430.81"/>
    <n v="245.3"/>
    <n v="1676.11"/>
    <s v="DD"/>
    <n v="17.885124999999999"/>
    <n v="80"/>
    <n v="0"/>
    <n v="0"/>
    <n v="0"/>
    <m/>
  </r>
  <r>
    <x v="31"/>
    <x v="10"/>
    <n v="943"/>
    <n v="41"/>
    <n v="104.57"/>
    <n v="943"/>
    <n v="104.57"/>
    <n v="0"/>
    <n v="1047.57"/>
    <n v="179.59"/>
    <n v="1227.1600000000001"/>
    <s v="DD"/>
    <n v="25.550487804878045"/>
    <n v="41"/>
    <n v="12.775243902439023"/>
    <n v="1.92"/>
    <n v="22.356676829268288"/>
    <m/>
  </r>
  <r>
    <x v="32"/>
    <x v="10"/>
    <n v="2196"/>
    <n v="80"/>
    <n v="318.43"/>
    <n v="2196"/>
    <n v="318.47000000000003"/>
    <n v="-0.04"/>
    <n v="2514.4299999999998"/>
    <n v="394.12"/>
    <n v="2908.55"/>
    <s v="DD"/>
    <n v="26.329109947643978"/>
    <n v="95.5"/>
    <n v="204.05060209424084"/>
    <n v="30.61"/>
    <n v="357.08855366492151"/>
    <m/>
  </r>
  <r>
    <x v="33"/>
    <x v="10"/>
    <n v="2449"/>
    <n v="80"/>
    <n v="381.36"/>
    <n v="2449"/>
    <n v="381.36"/>
    <n v="0"/>
    <n v="2830.36"/>
    <n v="423.5"/>
    <n v="3253.86"/>
    <s v="DD"/>
    <n v="26.576150234741785"/>
    <n v="106.5"/>
    <n v="352.13399061032868"/>
    <n v="52.82"/>
    <n v="616.23448356807523"/>
    <m/>
  </r>
  <r>
    <x v="34"/>
    <x v="10"/>
    <n v="2342"/>
    <n v="80"/>
    <n v="367.19"/>
    <n v="2392"/>
    <n v="367.19"/>
    <n v="50"/>
    <n v="2759.19"/>
    <n v="416.86"/>
    <n v="3176.05"/>
    <s v="DD"/>
    <n v="26.530673076923076"/>
    <n v="104"/>
    <n v="318.3680769230769"/>
    <n v="44.57"/>
    <n v="557.14413461538459"/>
    <m/>
  </r>
  <r>
    <x v="35"/>
    <x v="10"/>
    <n v="2047"/>
    <n v="80"/>
    <n v="285.45"/>
    <n v="2047"/>
    <n v="285.45"/>
    <n v="0"/>
    <n v="2332.4499999999998"/>
    <n v="377.23"/>
    <n v="2709.68"/>
    <s v="DD"/>
    <n v="26.207303370786516"/>
    <n v="89"/>
    <n v="117.93286516853932"/>
    <n v="16.510000000000002"/>
    <n v="206.3825140449438"/>
    <m/>
  </r>
  <r>
    <x v="37"/>
    <x v="10"/>
    <n v="1541"/>
    <n v="67"/>
    <n v="178.37"/>
    <n v="1541"/>
    <n v="178.37"/>
    <n v="0"/>
    <n v="1719.37"/>
    <n v="320.26"/>
    <n v="2039.63"/>
    <s v="DD"/>
    <n v="25.662238805970148"/>
    <n v="67"/>
    <n v="346.44022388059699"/>
    <n v="45.04"/>
    <n v="606.27039179104474"/>
    <m/>
  </r>
  <r>
    <x v="38"/>
    <x v="10"/>
    <n v="2576"/>
    <n v="80"/>
    <n v="412.91"/>
    <n v="2576"/>
    <n v="412.91"/>
    <n v="0"/>
    <n v="2988.91"/>
    <n v="438.21"/>
    <n v="3427.12"/>
    <s v="DD"/>
    <n v="26.568088888888887"/>
    <n v="112.5"/>
    <n v="431.73144444444443"/>
    <n v="56.13"/>
    <n v="755.53002777777772"/>
    <m/>
  </r>
  <r>
    <x v="39"/>
    <x v="10"/>
    <n v="1989"/>
    <n v="80"/>
    <n v="272.81"/>
    <n v="1989"/>
    <n v="272.81"/>
    <n v="0"/>
    <n v="2261.81"/>
    <n v="370.66"/>
    <n v="2632.47"/>
    <s v="DD"/>
    <n v="26.148092485549132"/>
    <n v="86.5"/>
    <n v="84.981300578034677"/>
    <n v="10.199999999999999"/>
    <n v="148.71727601156067"/>
    <m/>
  </r>
  <r>
    <x v="40"/>
    <x v="10"/>
    <n v="2323"/>
    <n v="80"/>
    <n v="350.04"/>
    <n v="2323"/>
    <n v="350.04"/>
    <n v="0"/>
    <n v="2673.04"/>
    <n v="408.86"/>
    <n v="3081.9"/>
    <s v="DD"/>
    <n v="26.335369458128078"/>
    <n v="101.5"/>
    <n v="283.10522167487682"/>
    <n v="33.97"/>
    <n v="495.43413793103446"/>
    <m/>
  </r>
  <r>
    <x v="41"/>
    <x v="10"/>
    <n v="2492"/>
    <n v="80"/>
    <n v="392.03"/>
    <n v="2492"/>
    <n v="392.03"/>
    <n v="0"/>
    <n v="2884.03"/>
    <n v="403.56"/>
    <n v="3287.59"/>
    <s v="DD"/>
    <n v="28.696815920398006"/>
    <n v="100.5"/>
    <n v="294.14236318407956"/>
    <n v="32.36"/>
    <n v="514.74913557213927"/>
    <m/>
  </r>
  <r>
    <x v="42"/>
    <x v="10"/>
    <n v="1848"/>
    <n v="49.5"/>
    <n v="242.07"/>
    <n v="1848"/>
    <n v="242.07"/>
    <n v="0"/>
    <n v="2090.0700000000002"/>
    <n v="320.44"/>
    <n v="2410.5100000000002"/>
    <s v="DD"/>
    <n v="27.143766233766236"/>
    <n v="77"/>
    <n v="128.93288961038962"/>
    <n v="14.18"/>
    <n v="225.63255681818185"/>
    <m/>
  </r>
  <r>
    <x v="61"/>
    <x v="10"/>
    <n v="2364"/>
    <n v="80"/>
    <n v="360.22"/>
    <n v="2364"/>
    <n v="360.22"/>
    <n v="0"/>
    <n v="2724.22"/>
    <n v="368.94"/>
    <n v="3093.16"/>
    <n v="100192"/>
    <n v="27.657055837563455"/>
    <n v="98.5"/>
    <n v="255.82776649746197"/>
    <n v="25.58"/>
    <n v="447.69859137055846"/>
    <m/>
  </r>
  <r>
    <x v="44"/>
    <x v="10"/>
    <n v="864"/>
    <n v="36"/>
    <n v="94.9"/>
    <n v="864"/>
    <n v="94.9"/>
    <n v="0"/>
    <n v="958.9"/>
    <n v="167.06"/>
    <n v="1125.96"/>
    <s v="DD"/>
    <n v="26.636111111111109"/>
    <n v="36"/>
    <n v="0"/>
    <n v="0"/>
    <n v="0"/>
    <m/>
  </r>
  <r>
    <x v="46"/>
    <x v="10"/>
    <n v="2412"/>
    <n v="80"/>
    <m/>
    <n v="2424"/>
    <n v="298.38"/>
    <n v="12"/>
    <n v="2722.38"/>
    <n v="400.28"/>
    <n v="3122.66"/>
    <s v="DD"/>
    <n v="24"/>
    <n v="101"/>
    <n v="252"/>
    <n v="22.68"/>
    <n v="441"/>
    <m/>
  </r>
  <r>
    <x v="47"/>
    <x v="10"/>
    <n v="1717"/>
    <n v="73"/>
    <m/>
    <n v="1752"/>
    <n v="169.19"/>
    <n v="35"/>
    <n v="1921.19"/>
    <n v="275.86"/>
    <n v="2197.0500000000002"/>
    <s v="DD"/>
    <n v="24"/>
    <n v="73"/>
    <n v="0"/>
    <n v="0"/>
    <n v="0"/>
    <m/>
  </r>
  <r>
    <x v="48"/>
    <x v="10"/>
    <n v="2616"/>
    <n v="80"/>
    <m/>
    <n v="2616"/>
    <n v="325.45999999999998"/>
    <n v="0"/>
    <n v="2941.46"/>
    <n v="357.63"/>
    <n v="3299.09"/>
    <s v="DD"/>
    <n v="24"/>
    <n v="109"/>
    <n v="348"/>
    <n v="27.84"/>
    <n v="609"/>
    <m/>
  </r>
  <r>
    <x v="49"/>
    <x v="10"/>
    <n v="2436"/>
    <n v="45"/>
    <m/>
    <n v="2436"/>
    <n v="291.7"/>
    <n v="0"/>
    <n v="2727.7"/>
    <n v="338.73"/>
    <n v="3066.43"/>
    <s v="DD"/>
    <n v="24"/>
    <n v="101.5"/>
    <n v="258"/>
    <n v="20.64"/>
    <n v="451.5"/>
    <m/>
  </r>
  <r>
    <x v="50"/>
    <x v="10"/>
    <n v="1751.15"/>
    <n v="45"/>
    <m/>
    <n v="1952.5"/>
    <n v="201.35"/>
    <n v="0"/>
    <n v="1952.5"/>
    <n v="281.14999999999998"/>
    <n v="2233.65"/>
    <s v="DD"/>
    <n v="27.5"/>
    <n v="71"/>
    <n v="68.75"/>
    <n v="4.8099999999999996"/>
    <n v="120.3125"/>
    <m/>
  </r>
  <r>
    <x v="9"/>
    <x v="11"/>
    <m/>
    <n v="99.75"/>
    <m/>
    <m/>
    <m/>
    <m/>
    <m/>
    <m/>
    <m/>
    <m/>
    <n v="24.85"/>
    <n v="99.75"/>
    <n v="2724.1812500000001"/>
    <n v="681.05"/>
    <n v="4767.3171874999998"/>
    <n v="546.07000000000005"/>
  </r>
  <r>
    <x v="10"/>
    <x v="11"/>
    <m/>
    <n v="116"/>
    <m/>
    <m/>
    <m/>
    <m/>
    <m/>
    <m/>
    <m/>
    <m/>
    <n v="24.85"/>
    <n v="116"/>
    <n v="3329.9"/>
    <n v="832.48"/>
    <n v="5827.3249999999998"/>
    <m/>
  </r>
  <r>
    <x v="11"/>
    <x v="11"/>
    <m/>
    <n v="103"/>
    <m/>
    <m/>
    <m/>
    <m/>
    <m/>
    <m/>
    <m/>
    <m/>
    <n v="24.85"/>
    <n v="103"/>
    <n v="2845.3250000000003"/>
    <n v="682.88"/>
    <n v="4979.3187500000004"/>
    <m/>
  </r>
  <r>
    <x v="12"/>
    <x v="11"/>
    <n v="1768"/>
    <n v="80"/>
    <n v="200.47"/>
    <n v="1760"/>
    <n v="192.47"/>
    <n v="0"/>
    <n v="1960.47"/>
    <n v="357.76"/>
    <n v="2318.23"/>
    <s v="DD"/>
    <n v="20.4215625"/>
    <n v="96"/>
    <n v="163.3725"/>
    <n v="37.58"/>
    <n v="285.90187500000002"/>
    <m/>
  </r>
  <r>
    <x v="13"/>
    <x v="11"/>
    <n v="1302"/>
    <n v="45"/>
    <n v="115.79"/>
    <n v="1725"/>
    <n v="253.79"/>
    <n v="285"/>
    <n v="1840.79"/>
    <n v="323.64999999999998"/>
    <n v="2164.44"/>
    <s v="DD"/>
    <n v="26.678115942028985"/>
    <n v="69"/>
    <n v="66.69528985507246"/>
    <n v="15.34"/>
    <n v="116.7167572463768"/>
    <m/>
  </r>
  <r>
    <x v="14"/>
    <x v="11"/>
    <n v="1542"/>
    <n v="43"/>
    <n v="32.61"/>
    <n v="1760"/>
    <n v="250.61"/>
    <n v="0"/>
    <n v="1792.61"/>
    <n v="340.87"/>
    <n v="2133.48"/>
    <s v="DD"/>
    <n v="26.755373134328355"/>
    <n v="67"/>
    <n v="40.133059701492535"/>
    <n v="8.83"/>
    <n v="70.232854477611937"/>
    <m/>
  </r>
  <r>
    <x v="15"/>
    <x v="11"/>
    <n v="115"/>
    <n v="5"/>
    <n v="17.75"/>
    <n v="110"/>
    <n v="12.75"/>
    <n v="0"/>
    <n v="127.75"/>
    <n v="22.89"/>
    <n v="150.63999999999999"/>
    <s v="DD"/>
    <n v="25.55"/>
    <n v="5"/>
    <n v="0"/>
    <n v="0"/>
    <n v="0"/>
    <m/>
  </r>
  <r>
    <x v="16"/>
    <x v="12"/>
    <n v="1593"/>
    <n v="80"/>
    <n v="224.07"/>
    <n v="1593"/>
    <n v="224.07"/>
    <n v="0"/>
    <n v="1817.07"/>
    <n v="340.25"/>
    <n v="2157.3200000000002"/>
    <s v="DD"/>
    <e v="#DIV/0!"/>
    <m/>
    <e v="#DIV/0!"/>
    <e v="#VALUE!"/>
    <e v="#DIV/0!"/>
    <n v="409.55"/>
  </r>
  <r>
    <x v="16"/>
    <x v="12"/>
    <n v="2377"/>
    <n v="80"/>
    <n v="414.1"/>
    <n v="1377"/>
    <n v="414.1"/>
    <n v="0"/>
    <n v="2791.1"/>
    <n v="436.59"/>
    <n v="3227.69"/>
    <s v="DD"/>
    <e v="#DIV/0!"/>
    <m/>
    <e v="#DIV/0!"/>
    <e v="#VALUE!"/>
    <e v="#DIV/0!"/>
    <m/>
  </r>
  <r>
    <x v="16"/>
    <x v="12"/>
    <n v="1510"/>
    <n v="80"/>
    <m/>
    <n v="1510"/>
    <n v="165.91"/>
    <n v="0"/>
    <n v="1675.91"/>
    <n v="309.88"/>
    <n v="1985.79"/>
    <s v="DD"/>
    <e v="#DIV/0!"/>
    <m/>
    <e v="#DIV/0!"/>
    <e v="#VALUE!"/>
    <e v="#DIV/0!"/>
    <m/>
  </r>
  <r>
    <x v="16"/>
    <x v="12"/>
    <n v="2228"/>
    <n v="80"/>
    <m/>
    <n v="1240"/>
    <n v="304.42"/>
    <n v="12"/>
    <n v="2544.42"/>
    <n v="382.08"/>
    <n v="2926.5"/>
    <s v="DD"/>
    <e v="#DIV/0!"/>
    <m/>
    <e v="#DIV/0!"/>
    <e v="#VALUE!"/>
    <e v="#DIV/0!"/>
    <m/>
  </r>
  <r>
    <x v="16"/>
    <x v="12"/>
    <n v="1905"/>
    <n v="80"/>
    <m/>
    <n v="1940"/>
    <n v="235.89"/>
    <n v="35"/>
    <n v="2175.89"/>
    <n v="295.39"/>
    <n v="2471.2800000000002"/>
    <s v="DD"/>
    <e v="#DIV/0!"/>
    <m/>
    <e v="#DIV/0!"/>
    <e v="#VALUE!"/>
    <e v="#DIV/0!"/>
    <m/>
  </r>
  <r>
    <x v="16"/>
    <x v="12"/>
    <n v="2100"/>
    <n v="80"/>
    <m/>
    <n v="2100"/>
    <n v="267.73"/>
    <n v="0"/>
    <n v="2367.73"/>
    <n v="307.51"/>
    <n v="2675.24"/>
    <n v="100196"/>
    <e v="#DIV/0!"/>
    <m/>
    <e v="#DIV/0!"/>
    <e v="#VALUE!"/>
    <e v="#DIV/0!"/>
    <m/>
  </r>
  <r>
    <x v="16"/>
    <x v="13"/>
    <n v="2500"/>
    <n v="60"/>
    <m/>
    <n v="2500"/>
    <n v="512.6"/>
    <n v="0"/>
    <n v="3012.6"/>
    <n v="367.65"/>
    <n v="3380.25"/>
    <s v="DD"/>
    <e v="#DIV/0!"/>
    <m/>
    <e v="#DIV/0!"/>
    <e v="#VALUE!"/>
    <e v="#DIV/0!"/>
    <n v="409.55"/>
  </r>
  <r>
    <x v="47"/>
    <x v="13"/>
    <n v="1069"/>
    <n v="42"/>
    <m/>
    <n v="1269"/>
    <n v="217.41"/>
    <n v="200"/>
    <n v="1486.41"/>
    <n v="224.57"/>
    <n v="1710.98"/>
    <s v="DD"/>
    <n v="18"/>
    <n v="70.5"/>
    <n v="18"/>
    <n v="1.44"/>
    <n v="31.5"/>
    <n v="546.07000000000005"/>
  </r>
  <r>
    <x v="35"/>
    <x v="14"/>
    <n v="1161"/>
    <n v="44.5"/>
    <n v="134.22999999999999"/>
    <n v="1161"/>
    <n v="134.22999999999999"/>
    <n v="0"/>
    <n v="1295.23"/>
    <n v="248.49"/>
    <n v="1543.72"/>
    <s v="DD"/>
    <n v="17.385637583892617"/>
    <n v="74.5"/>
    <n v="39.117684563758388"/>
    <n v="5.48"/>
    <n v="68.455947986577172"/>
    <n v="546.07000000000005"/>
  </r>
  <r>
    <x v="37"/>
    <x v="14"/>
    <n v="1792"/>
    <n v="80"/>
    <n v="266.93"/>
    <n v="1962"/>
    <n v="266.93"/>
    <n v="170"/>
    <n v="2228.9299999999998"/>
    <n v="380.99"/>
    <n v="2609.92"/>
    <s v="DD"/>
    <n v="20.448899082568804"/>
    <n v="109"/>
    <n v="296.50903669724767"/>
    <n v="38.549999999999997"/>
    <n v="518.89081422018342"/>
    <m/>
  </r>
  <r>
    <x v="38"/>
    <x v="14"/>
    <n v="1916"/>
    <n v="80"/>
    <n v="278.69"/>
    <n v="2016"/>
    <n v="278.69"/>
    <n v="100"/>
    <n v="2294.69"/>
    <n v="387.48"/>
    <n v="2682.17"/>
    <s v="DD"/>
    <n v="20.397244444444446"/>
    <n v="112.5"/>
    <n v="331.45522222222223"/>
    <n v="43.09"/>
    <n v="580.04663888888888"/>
    <m/>
  </r>
  <r>
    <x v="39"/>
    <x v="14"/>
    <n v="1710"/>
    <n v="80"/>
    <n v="211.96"/>
    <n v="1710"/>
    <n v="211.96"/>
    <n v="0"/>
    <n v="1921.96"/>
    <n v="346.18"/>
    <n v="2268.14"/>
    <s v="DD"/>
    <n v="20.231157894736842"/>
    <n v="95"/>
    <n v="151.73368421052632"/>
    <n v="18.21"/>
    <n v="265.53394736842108"/>
    <m/>
  </r>
  <r>
    <x v="40"/>
    <x v="14"/>
    <n v="1890"/>
    <n v="80"/>
    <n v="251.23"/>
    <n v="1890"/>
    <n v="251.23"/>
    <n v="0"/>
    <n v="2141.23"/>
    <n v="359.47"/>
    <n v="2500.6999999999998"/>
    <s v="DD"/>
    <n v="20.392666666666667"/>
    <n v="105"/>
    <n v="254.90833333333333"/>
    <n v="30.59"/>
    <n v="446.08958333333334"/>
    <m/>
  </r>
  <r>
    <x v="41"/>
    <x v="14"/>
    <n v="1909"/>
    <n v="80"/>
    <n v="255.36"/>
    <n v="1909"/>
    <n v="255.36"/>
    <n v="0"/>
    <n v="2164.36"/>
    <n v="361.6"/>
    <n v="2525.96"/>
    <s v="DD"/>
    <n v="21.535920398009953"/>
    <n v="100.5"/>
    <n v="220.74318407960203"/>
    <n v="24.28"/>
    <n v="386.30057213930354"/>
    <m/>
  </r>
  <r>
    <x v="42"/>
    <x v="14"/>
    <n v="1453"/>
    <n v="49.5"/>
    <n v="170.82"/>
    <n v="1453"/>
    <n v="170.82"/>
    <n v="0"/>
    <n v="1623.82"/>
    <n v="311.39"/>
    <n v="1935.21"/>
    <s v="DD"/>
    <n v="21.226405228758168"/>
    <n v="76.5"/>
    <n v="100.8254248366013"/>
    <n v="11.09"/>
    <n v="176.44449346405227"/>
    <m/>
  </r>
  <r>
    <x v="43"/>
    <x v="14"/>
    <n v="2707"/>
    <n v="80"/>
    <n v="445.47"/>
    <n v="2707"/>
    <n v="445.47"/>
    <n v="0"/>
    <n v="3152.47"/>
    <n v="453.41"/>
    <n v="3605.88"/>
    <s v="DD"/>
    <n v="32.00477157360406"/>
    <n v="98.5"/>
    <n v="296.04413705583755"/>
    <n v="29.6"/>
    <n v="518.07723984771576"/>
    <m/>
  </r>
  <r>
    <x v="16"/>
    <x v="15"/>
    <n v="3625"/>
    <n v="80"/>
    <n v="547.58000000000004"/>
    <n v="2640"/>
    <n v="562.58000000000004"/>
    <n v="0"/>
    <n v="4187.58"/>
    <n v="481.22"/>
    <n v="4668.8"/>
    <n v="100102"/>
    <e v="#DIV/0!"/>
    <m/>
    <e v="#DIV/0!"/>
    <e v="#VALUE!"/>
    <e v="#DIV/0!"/>
    <n v="409.55"/>
  </r>
  <r>
    <x v="16"/>
    <x v="15"/>
    <n v="1060"/>
    <n v="60"/>
    <n v="154.24"/>
    <n v="1620"/>
    <n v="274.24"/>
    <n v="440"/>
    <n v="1774.24"/>
    <n v="298.88"/>
    <n v="2073.12"/>
    <n v="100105"/>
    <e v="#DIV/0!"/>
    <m/>
    <e v="#DIV/0!"/>
    <e v="#VALUE!"/>
    <e v="#DIV/0!"/>
    <m/>
  </r>
  <r>
    <x v="16"/>
    <x v="15"/>
    <n v="1825"/>
    <n v="80"/>
    <n v="636.5"/>
    <n v="2800"/>
    <n v="611.5"/>
    <n v="1000"/>
    <n v="3436.5"/>
    <n v="497.87"/>
    <n v="3934.37"/>
    <n v="100113"/>
    <e v="#DIV/0!"/>
    <m/>
    <e v="#DIV/0!"/>
    <e v="#VALUE!"/>
    <e v="#DIV/0!"/>
    <m/>
  </r>
  <r>
    <x v="16"/>
    <x v="15"/>
    <n v="1125"/>
    <n v="45"/>
    <n v="89.81"/>
    <n v="1215"/>
    <n v="179.81"/>
    <n v="0"/>
    <n v="1304.81"/>
    <n v="221.57"/>
    <n v="1526.38"/>
    <n v="100119"/>
    <e v="#DIV/0!"/>
    <m/>
    <e v="#DIV/0!"/>
    <e v="#VALUE!"/>
    <e v="#DIV/0!"/>
    <m/>
  </r>
  <r>
    <x v="16"/>
    <x v="15"/>
    <n v="425"/>
    <n v="80"/>
    <n v="168.62"/>
    <n v="1424.8"/>
    <n v="168.42"/>
    <n v="1000"/>
    <n v="1593.42"/>
    <n v="320.83"/>
    <n v="1914.25"/>
    <n v="100128"/>
    <e v="#DIV/0!"/>
    <m/>
    <e v="#DIV/0!"/>
    <e v="#VALUE!"/>
    <e v="#DIV/0!"/>
    <m/>
  </r>
  <r>
    <x v="16"/>
    <x v="15"/>
    <n v="425"/>
    <n v="80"/>
    <n v="1409.86"/>
    <n v="2160"/>
    <n v="644.86"/>
    <n v="2500"/>
    <n v="3569.86"/>
    <n v="519.66999999999996"/>
    <n v="4089.53"/>
    <n v="100137"/>
    <e v="#DIV/0!"/>
    <m/>
    <e v="#DIV/0!"/>
    <e v="#VALUE!"/>
    <e v="#DIV/0!"/>
    <m/>
  </r>
  <r>
    <x v="16"/>
    <x v="15"/>
    <n v="625"/>
    <n v="25"/>
    <n v="68.06"/>
    <n v="625"/>
    <n v="68.06"/>
    <n v="0"/>
    <n v="693.06"/>
    <n v="118.92"/>
    <n v="811.98"/>
    <s v="DD"/>
    <e v="#DIV/0!"/>
    <m/>
    <e v="#DIV/0!"/>
    <e v="#VALUE!"/>
    <e v="#DIV/0!"/>
    <m/>
  </r>
  <r>
    <x v="16"/>
    <x v="15"/>
    <n v="2837"/>
    <n v="0"/>
    <m/>
    <n v="2837"/>
    <n v="569.94000000000005"/>
    <n v="0"/>
    <n v="3406.94"/>
    <n v="322.3"/>
    <n v="3729.24"/>
    <s v="DD"/>
    <e v="#DIV/0!"/>
    <m/>
    <e v="#DIV/0!"/>
    <e v="#VALUE!"/>
    <e v="#DIV/0!"/>
    <m/>
  </r>
  <r>
    <x v="16"/>
    <x v="15"/>
    <n v="2875"/>
    <n v="80"/>
    <n v="1347.43"/>
    <n v="2160"/>
    <n v="632.42999999999995"/>
    <n v="0"/>
    <n v="3507.43"/>
    <n v="492.34"/>
    <n v="3999.77"/>
    <s v="DD"/>
    <e v="#DIV/0!"/>
    <m/>
    <e v="#DIV/0!"/>
    <e v="#VALUE!"/>
    <e v="#DIV/0!"/>
    <m/>
  </r>
  <r>
    <x v="16"/>
    <x v="15"/>
    <n v="2750"/>
    <n v="80"/>
    <n v="1191.3699999999999"/>
    <n v="2160"/>
    <n v="601.37"/>
    <n v="0"/>
    <n v="3351.37"/>
    <n v="477.58"/>
    <n v="3828.95"/>
    <s v="DD"/>
    <e v="#DIV/0!"/>
    <m/>
    <e v="#DIV/0!"/>
    <e v="#VALUE!"/>
    <e v="#DIV/0!"/>
    <m/>
  </r>
  <r>
    <x v="16"/>
    <x v="15"/>
    <n v="3050"/>
    <n v="80"/>
    <n v="1565.92"/>
    <n v="2160"/>
    <n v="675.92"/>
    <n v="0"/>
    <n v="3725.92"/>
    <n v="513.01"/>
    <n v="4238.93"/>
    <s v="DD"/>
    <e v="#DIV/0!"/>
    <m/>
    <e v="#DIV/0!"/>
    <e v="#VALUE!"/>
    <e v="#DIV/0!"/>
    <m/>
  </r>
  <r>
    <x v="16"/>
    <x v="15"/>
    <n v="1325"/>
    <n v="53"/>
    <n v="123.35"/>
    <n v="1431"/>
    <n v="229.35"/>
    <n v="0"/>
    <n v="1554.35"/>
    <n v="250.75"/>
    <n v="1805.1"/>
    <s v="DD"/>
    <e v="#DIV/0!"/>
    <m/>
    <e v="#DIV/0!"/>
    <e v="#VALUE!"/>
    <e v="#DIV/0!"/>
    <m/>
  </r>
  <r>
    <x v="16"/>
    <x v="15"/>
    <n v="1775"/>
    <n v="71"/>
    <n v="211.12"/>
    <n v="1917"/>
    <n v="353.12"/>
    <n v="0"/>
    <n v="2128.12"/>
    <n v="340.2"/>
    <n v="2468.3200000000002"/>
    <s v="DD"/>
    <e v="#DIV/0!"/>
    <m/>
    <e v="#DIV/0!"/>
    <e v="#VALUE!"/>
    <e v="#DIV/0!"/>
    <m/>
  </r>
  <r>
    <x v="16"/>
    <x v="15"/>
    <n v="2087"/>
    <n v="80"/>
    <n v="363.6"/>
    <n v="2160"/>
    <n v="436.6"/>
    <n v="0"/>
    <n v="2523.6"/>
    <n v="394.97"/>
    <n v="2918.57"/>
    <s v="DD"/>
    <e v="#DIV/0!"/>
    <m/>
    <e v="#DIV/0!"/>
    <e v="#VALUE!"/>
    <e v="#DIV/0!"/>
    <m/>
  </r>
  <r>
    <x v="16"/>
    <x v="15"/>
    <n v="1550"/>
    <n v="62"/>
    <n v="167.25"/>
    <n v="1674"/>
    <n v="291.25"/>
    <n v="0"/>
    <n v="1841.25"/>
    <n v="295.48"/>
    <n v="2136.73"/>
    <s v="DD"/>
    <e v="#DIV/0!"/>
    <m/>
    <e v="#DIV/0!"/>
    <e v="#VALUE!"/>
    <e v="#DIV/0!"/>
    <m/>
  </r>
  <r>
    <x v="62"/>
    <x v="16"/>
    <m/>
    <n v="58"/>
    <m/>
    <m/>
    <m/>
    <m/>
    <m/>
    <m/>
    <m/>
    <m/>
    <n v="26.26"/>
    <n v="58"/>
    <n v="1759.42"/>
    <n v="211.13"/>
    <n v="3078.9850000000001"/>
    <n v="546.07000000000005"/>
  </r>
  <r>
    <x v="63"/>
    <x v="17"/>
    <m/>
    <n v="51"/>
    <m/>
    <m/>
    <m/>
    <m/>
    <m/>
    <m/>
    <m/>
    <m/>
    <n v="26.26"/>
    <n v="51"/>
    <n v="1339.26"/>
    <n v="227.67"/>
    <n v="2343.7049999999999"/>
    <n v="546.07000000000005"/>
  </r>
  <r>
    <x v="64"/>
    <x v="17"/>
    <m/>
    <n v="133.5"/>
    <m/>
    <m/>
    <m/>
    <m/>
    <m/>
    <m/>
    <m/>
    <m/>
    <n v="26.26"/>
    <n v="133.5"/>
    <n v="4208.1650000000009"/>
    <n v="715.39"/>
    <n v="7364.2887500000015"/>
    <m/>
  </r>
  <r>
    <x v="65"/>
    <x v="17"/>
    <m/>
    <n v="74"/>
    <m/>
    <m/>
    <m/>
    <m/>
    <m/>
    <m/>
    <m/>
    <m/>
    <n v="26.26"/>
    <n v="74"/>
    <n v="1943.24"/>
    <n v="310.92"/>
    <n v="3400.67"/>
    <m/>
  </r>
  <r>
    <x v="51"/>
    <x v="17"/>
    <m/>
    <n v="64.5"/>
    <m/>
    <m/>
    <m/>
    <m/>
    <m/>
    <m/>
    <m/>
    <m/>
    <n v="26.26"/>
    <n v="64.5"/>
    <n v="1693.7700000000002"/>
    <n v="271"/>
    <n v="2964.0975000000003"/>
    <m/>
  </r>
  <r>
    <x v="66"/>
    <x v="17"/>
    <m/>
    <n v="107"/>
    <m/>
    <m/>
    <m/>
    <m/>
    <m/>
    <m/>
    <m/>
    <m/>
    <n v="26.26"/>
    <n v="107"/>
    <n v="3164.33"/>
    <n v="474.65"/>
    <n v="5537.5774999999994"/>
    <m/>
  </r>
  <r>
    <x v="67"/>
    <x v="17"/>
    <m/>
    <n v="101.5"/>
    <m/>
    <m/>
    <m/>
    <m/>
    <m/>
    <m/>
    <m/>
    <m/>
    <n v="26.26"/>
    <n v="101.5"/>
    <n v="2947.6850000000004"/>
    <n v="442.15"/>
    <n v="5158.4487500000005"/>
    <m/>
  </r>
  <r>
    <x v="52"/>
    <x v="17"/>
    <m/>
    <n v="134"/>
    <m/>
    <m/>
    <m/>
    <m/>
    <m/>
    <m/>
    <m/>
    <m/>
    <n v="26.26"/>
    <n v="134"/>
    <n v="4227.8600000000006"/>
    <n v="591.9"/>
    <n v="7398.755000000001"/>
    <m/>
  </r>
  <r>
    <x v="25"/>
    <x v="17"/>
    <m/>
    <n v="93.5"/>
    <m/>
    <m/>
    <m/>
    <m/>
    <m/>
    <m/>
    <m/>
    <m/>
    <n v="26.26"/>
    <n v="93.5"/>
    <n v="2639.13"/>
    <n v="369.48"/>
    <n v="4618.4775"/>
    <m/>
  </r>
  <r>
    <x v="53"/>
    <x v="17"/>
    <m/>
    <n v="118"/>
    <m/>
    <m/>
    <m/>
    <m/>
    <m/>
    <m/>
    <m/>
    <m/>
    <n v="26.26"/>
    <n v="118"/>
    <n v="3597.62"/>
    <n v="467.69"/>
    <n v="6295.835"/>
    <m/>
  </r>
  <r>
    <x v="68"/>
    <x v="17"/>
    <m/>
    <n v="95"/>
    <m/>
    <m/>
    <m/>
    <m/>
    <m/>
    <m/>
    <m/>
    <m/>
    <n v="26.26"/>
    <n v="95"/>
    <n v="2691.65"/>
    <n v="323"/>
    <n v="4710.3874999999998"/>
    <m/>
  </r>
  <r>
    <x v="62"/>
    <x v="17"/>
    <m/>
    <n v="120"/>
    <m/>
    <m/>
    <m/>
    <m/>
    <m/>
    <m/>
    <m/>
    <m/>
    <n v="26.26"/>
    <n v="120"/>
    <n v="3676.4"/>
    <n v="441.17"/>
    <n v="6433.7"/>
    <m/>
  </r>
  <r>
    <x v="13"/>
    <x v="18"/>
    <n v="720"/>
    <n v="40"/>
    <n v="82.65"/>
    <n v="720"/>
    <n v="82.65"/>
    <n v="0"/>
    <n v="802.65"/>
    <n v="161.02000000000001"/>
    <n v="963.67"/>
    <n v="100108"/>
    <n v="20.06625"/>
    <n v="40"/>
    <n v="0"/>
    <n v="0"/>
    <n v="0"/>
    <n v="546.07000000000005"/>
  </r>
  <r>
    <x v="14"/>
    <x v="18"/>
    <n v="1328"/>
    <n v="80"/>
    <n v="293.92"/>
    <n v="1760"/>
    <n v="325.92"/>
    <n v="400"/>
    <n v="2053.92"/>
    <n v="367.16"/>
    <n v="2421.08"/>
    <n v="100116"/>
    <n v="21.395"/>
    <n v="96"/>
    <n v="171.16"/>
    <n v="37.659999999999997"/>
    <n v="299.52999999999997"/>
    <m/>
  </r>
  <r>
    <x v="15"/>
    <x v="18"/>
    <n v="1153"/>
    <n v="51.5"/>
    <n v="337.3"/>
    <n v="1440"/>
    <n v="274.3"/>
    <n v="350"/>
    <n v="1777.3"/>
    <n v="339.33"/>
    <n v="2116.63"/>
    <n v="100122"/>
    <n v="21.28502994011976"/>
    <n v="83.5"/>
    <n v="122.38892215568862"/>
    <n v="26.93"/>
    <n v="214.18061377245508"/>
    <m/>
  </r>
  <r>
    <x v="16"/>
    <x v="18"/>
    <n v="1136"/>
    <n v="80"/>
    <n v="306.52999999999997"/>
    <n v="1440"/>
    <n v="180.53"/>
    <n v="430"/>
    <n v="1746.53"/>
    <n v="336.26"/>
    <n v="2082.79"/>
    <n v="100131"/>
    <e v="#DIV/0!"/>
    <m/>
    <e v="#DIV/0!"/>
    <e v="#VALUE!"/>
    <e v="#DIV/0!"/>
    <m/>
  </r>
  <r>
    <x v="17"/>
    <x v="18"/>
    <n v="1759"/>
    <n v="80"/>
    <n v="1349.49"/>
    <n v="1440"/>
    <n v="507.49"/>
    <n v="523"/>
    <n v="2789.49"/>
    <n v="441.16"/>
    <n v="3230.65"/>
    <n v="100140"/>
    <n v="25.13054054054054"/>
    <n v="111"/>
    <n v="389.52337837837837"/>
    <n v="81.8"/>
    <n v="681.66591216216216"/>
    <m/>
  </r>
  <r>
    <x v="18"/>
    <x v="18"/>
    <n v="1900"/>
    <n v="80"/>
    <n v="209.19"/>
    <n v="1900"/>
    <n v="209.19"/>
    <n v="0"/>
    <n v="2109.19"/>
    <n v="364.19"/>
    <n v="2473.38"/>
    <s v="DD"/>
    <n v="21.091899999999999"/>
    <n v="100"/>
    <n v="210.91899999999998"/>
    <n v="44.29"/>
    <n v="369.10825"/>
    <m/>
  </r>
  <r>
    <x v="26"/>
    <x v="18"/>
    <n v="1320"/>
    <n v="80"/>
    <n v="607.28"/>
    <n v="1440"/>
    <n v="204.28"/>
    <n v="523"/>
    <n v="2047.28"/>
    <n v="354.21"/>
    <n v="2401.4899999999998"/>
    <n v="100159"/>
    <n v="22.747555555555554"/>
    <n v="90"/>
    <n v="113.73777777777777"/>
    <n v="22.75"/>
    <n v="199.04111111111109"/>
    <m/>
  </r>
  <r>
    <x v="20"/>
    <x v="18"/>
    <n v="1776"/>
    <n v="80"/>
    <n v="678.13"/>
    <n v="1440"/>
    <n v="342.13"/>
    <n v="0"/>
    <n v="2118.13"/>
    <n v="360.9"/>
    <n v="2479.0300000000002"/>
    <s v="DD"/>
    <n v="22.653796791443852"/>
    <n v="93.5"/>
    <n v="152.91312834224601"/>
    <n v="30.58"/>
    <n v="267.59797459893053"/>
    <m/>
  </r>
  <r>
    <x v="21"/>
    <x v="18"/>
    <n v="1379"/>
    <n v="80"/>
    <n v="619.49"/>
    <n v="1440"/>
    <n v="330.49"/>
    <n v="350"/>
    <n v="2059.4899999999998"/>
    <n v="355.38"/>
    <n v="2414.87"/>
    <s v="DD"/>
    <n v="22.631758241758238"/>
    <n v="91"/>
    <n v="124.4746703296703"/>
    <n v="23.65"/>
    <n v="217.83067307692303"/>
    <m/>
  </r>
  <r>
    <x v="22"/>
    <x v="18"/>
    <n v="1632"/>
    <n v="80"/>
    <n v="548.32000000000005"/>
    <n v="1440"/>
    <n v="316.32"/>
    <n v="40"/>
    <n v="1988.32"/>
    <n v="348.64"/>
    <n v="2336.96"/>
    <s v="DD"/>
    <n v="22.594545454545457"/>
    <n v="88"/>
    <n v="90.378181818181829"/>
    <n v="17.170000000000002"/>
    <n v="158.16181818181821"/>
    <m/>
  </r>
  <r>
    <x v="23"/>
    <x v="18"/>
    <n v="1222"/>
    <n v="80"/>
    <n v="548.29"/>
    <n v="1440"/>
    <n v="316.29000000000002"/>
    <n v="450"/>
    <n v="1988.29"/>
    <n v="345.25"/>
    <n v="2333.54"/>
    <s v="DD"/>
    <n v="22.594204545454545"/>
    <n v="88"/>
    <n v="90.37681818181818"/>
    <n v="16.27"/>
    <n v="158.15943181818182"/>
    <m/>
  </r>
  <r>
    <x v="24"/>
    <x v="18"/>
    <n v="1840"/>
    <n v="80"/>
    <n v="758.04"/>
    <n v="1440"/>
    <n v="358.04"/>
    <n v="0"/>
    <n v="2198.04"/>
    <n v="364.74"/>
    <n v="2562.7800000000002"/>
    <s v="DD"/>
    <n v="23.891739130434782"/>
    <n v="92"/>
    <n v="143.35043478260869"/>
    <n v="25.8"/>
    <n v="250.86326086956521"/>
    <m/>
  </r>
  <r>
    <x v="27"/>
    <x v="18"/>
    <n v="1698"/>
    <n v="80"/>
    <n v="1175.46"/>
    <n v="1440"/>
    <n v="455.46"/>
    <n v="462"/>
    <n v="2615.46"/>
    <n v="403.51"/>
    <n v="3018.97"/>
    <s v="DD"/>
    <n v="24.217222222222222"/>
    <n v="108"/>
    <n v="339.04111111111109"/>
    <n v="57.64"/>
    <n v="593.3219444444444"/>
    <m/>
  </r>
  <r>
    <x v="28"/>
    <x v="18"/>
    <n v="1790"/>
    <n v="80"/>
    <n v="695.61"/>
    <n v="1440"/>
    <n v="345.61"/>
    <n v="0"/>
    <n v="2135.61"/>
    <n v="358.94"/>
    <n v="2494.5500000000002"/>
    <s v="DD"/>
    <n v="23.861564245810058"/>
    <n v="89.5"/>
    <n v="113.34243016759777"/>
    <n v="19.27"/>
    <n v="198.3492527932961"/>
    <m/>
  </r>
  <r>
    <x v="29"/>
    <x v="18"/>
    <n v="1790"/>
    <n v="80"/>
    <n v="1116.94"/>
    <n v="1440"/>
    <n v="326.94"/>
    <n v="440"/>
    <n v="2556.94"/>
    <n v="398.08"/>
    <n v="2955.02"/>
    <s v="DD"/>
    <n v="22.932197309417042"/>
    <n v="111.5"/>
    <n v="361.18210762331842"/>
    <n v="57.79"/>
    <n v="632.06868834080728"/>
    <m/>
  </r>
  <r>
    <x v="30"/>
    <x v="18"/>
    <n v="1740"/>
    <n v="80"/>
    <n v="495.45"/>
    <n v="1440"/>
    <n v="195.45"/>
    <n v="0"/>
    <n v="1935.45"/>
    <n v="340.34"/>
    <n v="2275.79"/>
    <s v="DD"/>
    <n v="22.24655172413793"/>
    <n v="87"/>
    <n v="77.862931034482756"/>
    <n v="12.46"/>
    <n v="136.26012931034484"/>
    <m/>
  </r>
  <r>
    <x v="31"/>
    <x v="18"/>
    <n v="1620"/>
    <n v="49"/>
    <n v="192.35"/>
    <n v="1620"/>
    <n v="192.35"/>
    <n v="0"/>
    <n v="1812.35"/>
    <n v="328.91"/>
    <n v="2141.2600000000002"/>
    <s v="DD"/>
    <n v="22.374691358024691"/>
    <n v="81"/>
    <n v="100.6861111111111"/>
    <n v="15.1"/>
    <n v="176.20069444444442"/>
    <m/>
  </r>
  <r>
    <x v="32"/>
    <x v="18"/>
    <n v="1460"/>
    <n v="80"/>
    <n v="253.37"/>
    <n v="1900"/>
    <n v="253.39"/>
    <n v="439.98"/>
    <n v="2153.37"/>
    <n v="360.59"/>
    <n v="2513.96"/>
    <s v="DD"/>
    <n v="22.667052631578947"/>
    <n v="95"/>
    <n v="170.00289473684211"/>
    <n v="25.5"/>
    <n v="297.50506578947369"/>
    <m/>
  </r>
  <r>
    <x v="33"/>
    <x v="18"/>
    <n v="2020"/>
    <n v="80"/>
    <n v="279.57"/>
    <n v="2020"/>
    <n v="279.57"/>
    <n v="0"/>
    <n v="2299.5700000000002"/>
    <n v="374.17"/>
    <n v="2673.74"/>
    <s v="DD"/>
    <n v="22.768019801980198"/>
    <n v="101"/>
    <n v="239.06420792079209"/>
    <n v="35.86"/>
    <n v="418.36236386138614"/>
    <m/>
  </r>
  <r>
    <x v="34"/>
    <x v="18"/>
    <n v="1510"/>
    <n v="80"/>
    <n v="264.29000000000002"/>
    <n v="1950"/>
    <n v="264.29000000000002"/>
    <n v="440"/>
    <n v="2214.29"/>
    <n v="366.24"/>
    <n v="2580.5300000000002"/>
    <s v="DD"/>
    <n v="22.710666666666665"/>
    <n v="97.5"/>
    <n v="198.71833333333331"/>
    <n v="27.82"/>
    <n v="347.7570833333333"/>
    <m/>
  </r>
  <r>
    <x v="35"/>
    <x v="18"/>
    <n v="1690"/>
    <n v="80"/>
    <n v="207.61"/>
    <n v="1690"/>
    <n v="207.61"/>
    <n v="0"/>
    <n v="1897.61"/>
    <n v="336.83"/>
    <n v="2234.44"/>
    <s v="DD"/>
    <n v="20.080529100529102"/>
    <n v="94.5"/>
    <n v="145.58383597883599"/>
    <n v="20.38"/>
    <n v="254.77171296296299"/>
    <m/>
  </r>
  <r>
    <x v="37"/>
    <x v="18"/>
    <n v="1849"/>
    <n v="80"/>
    <n v="341.59"/>
    <n v="2289"/>
    <n v="341.59"/>
    <n v="440"/>
    <n v="2630.59"/>
    <n v="404.92"/>
    <n v="3035.51"/>
    <s v="DD"/>
    <n v="24.133853211009175"/>
    <n v="109"/>
    <n v="349.94087155963302"/>
    <n v="45.49"/>
    <n v="612.39652522935785"/>
    <m/>
  </r>
  <r>
    <x v="38"/>
    <x v="18"/>
    <n v="2383"/>
    <n v="80"/>
    <n v="364.96"/>
    <n v="2383"/>
    <n v="364.96"/>
    <n v="0"/>
    <n v="2747.96"/>
    <n v="415.84"/>
    <n v="3163.8"/>
    <s v="DD"/>
    <n v="24.211101321585904"/>
    <n v="113.5"/>
    <n v="405.53594713656389"/>
    <n v="52.72"/>
    <n v="709.68790748898687"/>
    <m/>
  </r>
  <r>
    <x v="39"/>
    <x v="18"/>
    <n v="2016"/>
    <n v="80"/>
    <n v="278.69"/>
    <n v="2016"/>
    <n v="278.69"/>
    <n v="0"/>
    <n v="2294.69"/>
    <n v="373.71"/>
    <n v="2668.4"/>
    <s v="DD"/>
    <n v="23.903020833333333"/>
    <n v="96"/>
    <n v="191.22416666666666"/>
    <n v="22.95"/>
    <n v="334.64229166666667"/>
    <m/>
  </r>
  <r>
    <x v="40"/>
    <x v="18"/>
    <n v="2373"/>
    <n v="80"/>
    <n v="362.47"/>
    <n v="2373"/>
    <n v="362.47"/>
    <n v="0"/>
    <n v="2735.47"/>
    <n v="397.42"/>
    <n v="3132.89"/>
    <s v="DD"/>
    <n v="24.20769911504425"/>
    <n v="113"/>
    <n v="399.42703539823015"/>
    <n v="47.93"/>
    <n v="698.99731194690276"/>
    <m/>
  </r>
  <r>
    <x v="41"/>
    <x v="18"/>
    <n v="1592"/>
    <n v="50.5"/>
    <n v="282.17"/>
    <n v="2032"/>
    <n v="282.17"/>
    <n v="440"/>
    <n v="2314.17"/>
    <n v="337.57"/>
    <n v="2651.74"/>
    <s v="DD"/>
    <n v="26.75341040462428"/>
    <n v="86.5"/>
    <n v="280.91080924855493"/>
    <n v="30.9"/>
    <n v="491.59391618497114"/>
    <m/>
  </r>
  <r>
    <x v="42"/>
    <x v="18"/>
    <n v="2604"/>
    <n v="49.5"/>
    <n v="419.87"/>
    <n v="2604"/>
    <n v="419.87"/>
    <n v="0"/>
    <n v="3023.87"/>
    <n v="391.87"/>
    <n v="3415.74"/>
    <s v="DD"/>
    <n v="39.271038961038961"/>
    <n v="77"/>
    <n v="186.53743506493507"/>
    <n v="20.52"/>
    <n v="326.44051136363635"/>
    <m/>
  </r>
  <r>
    <x v="43"/>
    <x v="18"/>
    <n v="2167"/>
    <n v="80"/>
    <n v="311.62"/>
    <n v="2167"/>
    <n v="311.62"/>
    <n v="0"/>
    <n v="2478.62"/>
    <n v="350.15"/>
    <n v="2828.77"/>
    <s v="DD"/>
    <n v="24.91075376884422"/>
    <n v="99.5"/>
    <n v="242.87984924623115"/>
    <n v="24.29"/>
    <n v="425.03973618090453"/>
    <m/>
  </r>
  <r>
    <x v="44"/>
    <x v="18"/>
    <n v="2387"/>
    <n v="49.5"/>
    <n v="360.43"/>
    <n v="2387"/>
    <n v="360.43"/>
    <n v="0"/>
    <n v="2747.43"/>
    <n v="432.26"/>
    <n v="3179.69"/>
    <s v="DD"/>
    <n v="31.044406779661013"/>
    <n v="88.5"/>
    <n v="147.4609322033898"/>
    <n v="14.75"/>
    <n v="258.05663135593215"/>
    <m/>
  </r>
  <r>
    <x v="45"/>
    <x v="18"/>
    <n v="2121"/>
    <n v="51.5"/>
    <m/>
    <n v="2121"/>
    <n v="244.13"/>
    <n v="0"/>
    <n v="2365.13"/>
    <n v="370.3"/>
    <n v="2735.43"/>
    <s v="DD"/>
    <n v="23.436464088397791"/>
    <n v="90.5"/>
    <n v="134.75966850828729"/>
    <n v="12.13"/>
    <n v="235.82941988950276"/>
    <m/>
  </r>
  <r>
    <x v="46"/>
    <x v="18"/>
    <n v="3101"/>
    <n v="80"/>
    <m/>
    <n v="3101"/>
    <n v="430.81"/>
    <n v="0"/>
    <n v="3531.81"/>
    <n v="461.41"/>
    <n v="3993.22"/>
    <s v="DD"/>
    <n v="30.551724137931036"/>
    <n v="101.5"/>
    <n v="328.43103448275861"/>
    <n v="29.56"/>
    <n v="574.75431034482756"/>
    <m/>
  </r>
  <r>
    <x v="47"/>
    <x v="18"/>
    <n v="2154"/>
    <n v="80"/>
    <m/>
    <n v="2189"/>
    <n v="247.49"/>
    <n v="35"/>
    <n v="2436.4899999999998"/>
    <n v="315.79000000000002"/>
    <n v="2752.28"/>
    <s v="DD"/>
    <n v="22"/>
    <n v="99.5"/>
    <n v="214.5"/>
    <n v="17.16"/>
    <n v="375.375"/>
    <m/>
  </r>
  <r>
    <x v="48"/>
    <x v="18"/>
    <n v="2376"/>
    <n v="80"/>
    <m/>
    <n v="2376"/>
    <n v="280.95999999999998"/>
    <n v="0"/>
    <n v="2656.96"/>
    <n v="333.15"/>
    <n v="2990.11"/>
    <s v="DD"/>
    <n v="22"/>
    <n v="108"/>
    <n v="308"/>
    <n v="24.64"/>
    <n v="539"/>
    <m/>
  </r>
  <r>
    <x v="49"/>
    <x v="18"/>
    <n v="2233"/>
    <n v="80"/>
    <m/>
    <n v="2233"/>
    <n v="255.37"/>
    <n v="0"/>
    <n v="2488.37"/>
    <n v="319.87"/>
    <n v="2808.24"/>
    <s v="DD"/>
    <n v="22"/>
    <n v="101.5"/>
    <n v="236.5"/>
    <n v="18.920000000000002"/>
    <n v="413.875"/>
    <m/>
  </r>
  <r>
    <x v="50"/>
    <x v="18"/>
    <n v="1968.54"/>
    <n v="86"/>
    <m/>
    <n v="2225"/>
    <n v="256.45999999999998"/>
    <n v="0"/>
    <n v="2225"/>
    <n v="327.56"/>
    <n v="2552.56"/>
    <s v="DD"/>
    <n v="25.872093023255815"/>
    <n v="86"/>
    <n v="0"/>
    <n v="0"/>
    <n v="0"/>
    <m/>
  </r>
  <r>
    <x v="13"/>
    <x v="19"/>
    <n v="720"/>
    <n v="40"/>
    <n v="87.41"/>
    <n v="720"/>
    <n v="87.41"/>
    <n v="0"/>
    <n v="807.41"/>
    <n v="161.49"/>
    <n v="968.9"/>
    <n v="100106"/>
    <n v="20.18525"/>
    <n v="40"/>
    <n v="0"/>
    <n v="0"/>
    <n v="0"/>
    <n v="546.07000000000005"/>
  </r>
  <r>
    <x v="14"/>
    <x v="19"/>
    <n v="1310"/>
    <n v="80"/>
    <n v="288.82"/>
    <n v="1760"/>
    <n v="338.82"/>
    <n v="400"/>
    <n v="2048.8200000000002"/>
    <n v="366.67"/>
    <n v="2415.4899999999998"/>
    <n v="100114"/>
    <n v="21.566526315789474"/>
    <n v="95"/>
    <n v="161.74894736842106"/>
    <n v="35.58"/>
    <n v="283.06065789473683"/>
    <m/>
  </r>
  <r>
    <x v="15"/>
    <x v="19"/>
    <n v="1054"/>
    <n v="51"/>
    <n v="343.27"/>
    <n v="1440"/>
    <n v="289.27"/>
    <n v="440"/>
    <n v="1783.27"/>
    <n v="339.94"/>
    <n v="2123.21"/>
    <n v="100120"/>
    <n v="21.485180722891567"/>
    <n v="83"/>
    <n v="118.16849397590362"/>
    <n v="26"/>
    <n v="206.79486445783132"/>
    <m/>
  </r>
  <r>
    <x v="16"/>
    <x v="19"/>
    <n v="1136"/>
    <n v="80"/>
    <n v="306.52"/>
    <n v="1440"/>
    <n v="180.52"/>
    <n v="430"/>
    <n v="1746.52"/>
    <n v="336.24"/>
    <n v="2082.7600000000002"/>
    <n v="100129"/>
    <e v="#DIV/0!"/>
    <m/>
    <e v="#DIV/0!"/>
    <e v="#VALUE!"/>
    <e v="#DIV/0!"/>
    <m/>
  </r>
  <r>
    <x v="17"/>
    <x v="19"/>
    <n v="1298"/>
    <n v="80"/>
    <n v="260.86"/>
    <n v="1440"/>
    <n v="272.86"/>
    <n v="130"/>
    <n v="1700.86"/>
    <n v="331.64"/>
    <n v="2032.5"/>
    <n v="100138"/>
    <n v="16.513203883495148"/>
    <n v="103"/>
    <n v="189.9018446601942"/>
    <n v="39.880000000000003"/>
    <n v="332.32822815533984"/>
    <m/>
  </r>
  <r>
    <x v="18"/>
    <x v="19"/>
    <n v="1640"/>
    <n v="80"/>
    <n v="216.91"/>
    <n v="1990"/>
    <n v="216.91"/>
    <n v="350"/>
    <n v="2206.91"/>
    <n v="379.93"/>
    <n v="2586.84"/>
    <s v="DD"/>
    <n v="22.18"/>
    <n v="99.5"/>
    <n v="216.255"/>
    <n v="45.41"/>
    <n v="378.44624999999996"/>
    <m/>
  </r>
  <r>
    <x v="19"/>
    <x v="19"/>
    <n v="1280"/>
    <n v="49"/>
    <m/>
    <n v="1280"/>
    <n v="184.51"/>
    <n v="0"/>
    <n v="1464.51"/>
    <n v="138.55000000000001"/>
    <n v="1603.06"/>
    <s v="DD"/>
    <n v="19.393939393939394"/>
    <n v="66"/>
    <n v="87.27272727272728"/>
    <n v="17.45"/>
    <n v="152.72727272727275"/>
    <m/>
  </r>
  <r>
    <x v="20"/>
    <x v="19"/>
    <n v="1870"/>
    <n v="80"/>
    <n v="812.7"/>
    <n v="1440"/>
    <n v="382.7"/>
    <n v="0"/>
    <n v="2252.6999999999998"/>
    <n v="373.64"/>
    <n v="2626.34"/>
    <s v="DD"/>
    <n v="24.093048128342243"/>
    <n v="93.5"/>
    <n v="162.62807486631013"/>
    <n v="32.53"/>
    <n v="284.59913101604275"/>
    <m/>
  </r>
  <r>
    <x v="21"/>
    <x v="19"/>
    <n v="1554"/>
    <n v="46"/>
    <n v="522.21"/>
    <n v="1332"/>
    <n v="300.20999999999998"/>
    <n v="0"/>
    <n v="1854.21"/>
    <n v="323.91000000000003"/>
    <n v="2178.12"/>
    <s v="DD"/>
    <n v="25.056891891891894"/>
    <n v="74"/>
    <n v="75.170675675675682"/>
    <n v="14.28"/>
    <n v="131.54868243243243"/>
    <m/>
  </r>
  <r>
    <x v="22"/>
    <x v="19"/>
    <n v="1808"/>
    <n v="80"/>
    <n v="785.23"/>
    <n v="1440"/>
    <n v="377.23"/>
    <n v="40"/>
    <n v="2225.23"/>
    <n v="371.05"/>
    <n v="2596.2800000000002"/>
    <s v="DD"/>
    <n v="25.286704545454544"/>
    <n v="88"/>
    <n v="101.14681818181818"/>
    <n v="19.22"/>
    <n v="177.00693181818181"/>
    <m/>
  </r>
  <r>
    <x v="23"/>
    <x v="19"/>
    <n v="1838"/>
    <n v="80"/>
    <n v="785.21"/>
    <n v="1440"/>
    <n v="377.21"/>
    <n v="10"/>
    <n v="2225.21"/>
    <n v="367.26"/>
    <n v="2592.4699999999998"/>
    <s v="DD"/>
    <n v="25.286477272727272"/>
    <n v="88"/>
    <n v="101.14590909090909"/>
    <n v="18.21"/>
    <n v="177.0053409090909"/>
    <m/>
  </r>
  <r>
    <x v="24"/>
    <x v="19"/>
    <n v="1932"/>
    <n v="80"/>
    <n v="890.11"/>
    <n v="1440"/>
    <n v="398.11"/>
    <n v="0"/>
    <n v="2330.11"/>
    <n v="377.01"/>
    <n v="2707.12"/>
    <s v="DD"/>
    <n v="25.327282608695654"/>
    <n v="92"/>
    <n v="151.96369565217393"/>
    <n v="27.35"/>
    <n v="265.93646739130435"/>
    <m/>
  </r>
  <r>
    <x v="27"/>
    <x v="19"/>
    <n v="2151"/>
    <n v="80"/>
    <n v="1190.98"/>
    <n v="1440"/>
    <n v="457.98"/>
    <n v="22"/>
    <n v="2630.98"/>
    <n v="404.97"/>
    <n v="3035.95"/>
    <s v="DD"/>
    <n v="25.420096618357487"/>
    <n v="103.5"/>
    <n v="298.6861352657005"/>
    <n v="50.78"/>
    <n v="522.70073671497585"/>
    <m/>
  </r>
  <r>
    <x v="28"/>
    <x v="19"/>
    <n v="1879"/>
    <n v="80"/>
    <n v="823.92"/>
    <n v="1440"/>
    <n v="384.92"/>
    <n v="0"/>
    <n v="2263.92"/>
    <n v="370.84"/>
    <n v="2634.76"/>
    <s v="DD"/>
    <n v="25.295195530726257"/>
    <n v="89.5"/>
    <n v="120.15217877094972"/>
    <n v="20.43"/>
    <n v="210.26631284916201"/>
    <m/>
  </r>
  <r>
    <x v="29"/>
    <x v="19"/>
    <n v="2320"/>
    <n v="80"/>
    <n v="1229.31"/>
    <n v="1440"/>
    <n v="349.31"/>
    <n v="0"/>
    <n v="2669.31"/>
    <n v="408.53"/>
    <n v="3077.84"/>
    <s v="DD"/>
    <n v="24.156651583710406"/>
    <n v="110.5"/>
    <n v="368.38893665158372"/>
    <n v="58.94"/>
    <n v="644.68063914027152"/>
    <m/>
  </r>
  <r>
    <x v="30"/>
    <x v="19"/>
    <n v="1785"/>
    <n v="80"/>
    <n v="224.31"/>
    <n v="1760"/>
    <n v="199.31"/>
    <n v="0"/>
    <n v="1984.31"/>
    <n v="344.89"/>
    <n v="2329.1999999999998"/>
    <s v="DD"/>
    <n v="23.344823529411762"/>
    <n v="85"/>
    <n v="58.362058823529409"/>
    <n v="9.34"/>
    <n v="102.13360294117646"/>
    <m/>
  </r>
  <r>
    <x v="31"/>
    <x v="19"/>
    <n v="1701"/>
    <n v="49"/>
    <n v="209.99"/>
    <n v="1701"/>
    <n v="209.99"/>
    <n v="0"/>
    <n v="1910.99"/>
    <n v="338.06"/>
    <n v="2249.0500000000002"/>
    <s v="DD"/>
    <n v="23.592469135802471"/>
    <n v="81"/>
    <n v="106.16611111111112"/>
    <n v="15.92"/>
    <n v="185.79069444444445"/>
    <m/>
  </r>
  <r>
    <x v="32"/>
    <x v="19"/>
    <n v="2131"/>
    <n v="80"/>
    <n v="303.69"/>
    <n v="2131"/>
    <n v="303.75"/>
    <n v="-0.06"/>
    <n v="2434.69"/>
    <n v="386.73"/>
    <n v="2821.42"/>
    <s v="DD"/>
    <n v="23.987093596059115"/>
    <n v="101.5"/>
    <n v="257.86125615763547"/>
    <n v="38.68"/>
    <n v="451.25719827586204"/>
    <m/>
  </r>
  <r>
    <x v="33"/>
    <x v="19"/>
    <n v="2247"/>
    <n v="51.5"/>
    <n v="331.17"/>
    <n v="2247"/>
    <n v="331.17"/>
    <n v="0"/>
    <n v="2578.17"/>
    <n v="400.06"/>
    <n v="2978.23"/>
    <s v="DD"/>
    <n v="50.061553398058251"/>
    <n v="51.5"/>
    <n v="287.85393203883496"/>
    <n v="43.18"/>
    <n v="503.74438106796117"/>
    <m/>
  </r>
  <r>
    <x v="34"/>
    <x v="19"/>
    <n v="2194.0100000000002"/>
    <n v="80"/>
    <n v="318"/>
    <n v="2194"/>
    <n v="317.99"/>
    <n v="0"/>
    <n v="2512"/>
    <n v="393.9"/>
    <n v="2905.9"/>
    <s v="DD"/>
    <n v="25.502538071065988"/>
    <n v="98.5"/>
    <n v="235.89847715736039"/>
    <n v="33.03"/>
    <n v="412.82233502538065"/>
    <m/>
  </r>
  <r>
    <x v="35"/>
    <x v="19"/>
    <n v="1850"/>
    <n v="50"/>
    <n v="242.49"/>
    <n v="1850"/>
    <n v="242.49"/>
    <n v="0"/>
    <n v="2092.4899999999998"/>
    <n v="354.93"/>
    <n v="2447.42"/>
    <s v="DD"/>
    <n v="41.849799999999995"/>
    <n v="50"/>
    <n v="209.24899999999997"/>
    <n v="29.29"/>
    <n v="366.18574999999993"/>
    <m/>
  </r>
  <r>
    <x v="11"/>
    <x v="20"/>
    <m/>
    <n v="32"/>
    <m/>
    <m/>
    <m/>
    <m/>
    <m/>
    <m/>
    <m/>
    <m/>
    <n v="30"/>
    <n v="32"/>
    <n v="960"/>
    <n v="230.4"/>
    <n v="1680"/>
    <n v="546.07000000000005"/>
  </r>
  <r>
    <x v="12"/>
    <x v="20"/>
    <n v="1161"/>
    <n v="80"/>
    <n v="103.19"/>
    <n v="1200"/>
    <n v="142.19"/>
    <n v="0"/>
    <n v="1303.19"/>
    <n v="291.64999999999998"/>
    <n v="1594.84"/>
    <s v="DD"/>
    <n v="13.574895833333334"/>
    <n v="96"/>
    <n v="108.59916666666668"/>
    <n v="24.98"/>
    <n v="190.04854166666669"/>
    <m/>
  </r>
  <r>
    <x v="13"/>
    <x v="20"/>
    <n v="802"/>
    <n v="45"/>
    <n v="109.45"/>
    <n v="1380"/>
    <n v="247.45"/>
    <n v="440"/>
    <n v="1489.45"/>
    <n v="288.29000000000002"/>
    <n v="1777.74"/>
    <s v="DD"/>
    <n v="21.586231884057973"/>
    <n v="69"/>
    <n v="53.965579710144937"/>
    <n v="12.41"/>
    <n v="94.439764492753639"/>
    <m/>
  </r>
  <r>
    <x v="14"/>
    <x v="20"/>
    <n v="1085"/>
    <n v="80"/>
    <n v="400.24"/>
    <n v="1440"/>
    <n v="322.24"/>
    <n v="433"/>
    <n v="1840.24"/>
    <n v="345.68"/>
    <n v="2185.92"/>
    <s v="DD"/>
    <n v="21.398139534883722"/>
    <n v="86"/>
    <n v="64.194418604651162"/>
    <n v="14.12"/>
    <n v="112.34023255813953"/>
    <m/>
  </r>
  <r>
    <x v="15"/>
    <x v="20"/>
    <n v="1054"/>
    <n v="51"/>
    <n v="374.48"/>
    <n v="1440"/>
    <n v="320.48"/>
    <n v="440"/>
    <n v="1814.48"/>
    <n v="343.08"/>
    <n v="2157.56"/>
    <s v="DD"/>
    <n v="21.861204819277109"/>
    <n v="83"/>
    <n v="120.23662650602409"/>
    <n v="26.45"/>
    <n v="210.41409638554217"/>
    <m/>
  </r>
  <r>
    <x v="16"/>
    <x v="20"/>
    <n v="136.26"/>
    <n v="0"/>
    <m/>
    <n v="136.26"/>
    <n v="11.68"/>
    <n v="0"/>
    <n v="147.94"/>
    <n v="14.88"/>
    <n v="162.82"/>
    <s v="DD"/>
    <e v="#DIV/0!"/>
    <m/>
    <e v="#DIV/0!"/>
    <e v="#VALUE!"/>
    <e v="#DIV/0!"/>
    <m/>
  </r>
  <r>
    <x v="16"/>
    <x v="20"/>
    <n v="1399.74"/>
    <n v="80"/>
    <n v="126"/>
    <n v="1440"/>
    <n v="166.26"/>
    <n v="0"/>
    <n v="1566"/>
    <n v="318.07"/>
    <n v="1884.07"/>
    <s v="DD"/>
    <e v="#DIV/0!"/>
    <m/>
    <e v="#DIV/0!"/>
    <e v="#VALUE!"/>
    <e v="#DIV/0!"/>
    <m/>
  </r>
  <r>
    <x v="17"/>
    <x v="20"/>
    <n v="2152"/>
    <n v="80"/>
    <n v="1265.45"/>
    <n v="1440"/>
    <n v="553.45000000000005"/>
    <n v="0"/>
    <n v="2705.45"/>
    <n v="432.71"/>
    <n v="3138.16"/>
    <s v="DD"/>
    <n v="22.639748953974895"/>
    <n v="119.5"/>
    <n v="447.13504184100418"/>
    <n v="93.9"/>
    <n v="782.48632322175729"/>
    <m/>
  </r>
  <r>
    <x v="16"/>
    <x v="20"/>
    <n v="1743"/>
    <n v="80"/>
    <n v="195.71"/>
    <n v="1743"/>
    <n v="195.71"/>
    <n v="0"/>
    <n v="1938.71"/>
    <n v="348.54"/>
    <n v="2287.25"/>
    <s v="DD"/>
    <e v="#DIV/0!"/>
    <m/>
    <e v="#DIV/0!"/>
    <e v="#VALUE!"/>
    <e v="#DIV/0!"/>
    <m/>
  </r>
  <r>
    <x v="16"/>
    <x v="20"/>
    <n v="1596"/>
    <n v="80"/>
    <n v="339.1"/>
    <n v="1440"/>
    <n v="183.1"/>
    <n v="0"/>
    <n v="1779.1"/>
    <n v="328.85"/>
    <n v="2107.9499999999998"/>
    <n v="100164"/>
    <e v="#DIV/0!"/>
    <m/>
    <e v="#DIV/0!"/>
    <e v="#VALUE!"/>
    <e v="#DIV/0!"/>
    <m/>
  </r>
  <r>
    <x v="16"/>
    <x v="20"/>
    <n v="2121"/>
    <n v="80"/>
    <n v="1221.24"/>
    <n v="1440"/>
    <n v="540.24"/>
    <n v="0"/>
    <n v="2661.24"/>
    <n v="412.29"/>
    <n v="3073.53"/>
    <s v="DD"/>
    <e v="#DIV/0!"/>
    <m/>
    <e v="#DIV/0!"/>
    <e v="#VALUE!"/>
    <e v="#DIV/0!"/>
    <m/>
  </r>
  <r>
    <x v="21"/>
    <x v="20"/>
    <n v="1344"/>
    <n v="14"/>
    <n v="464.59"/>
    <n v="1152"/>
    <n v="272.58999999999997"/>
    <n v="0"/>
    <n v="1616.59"/>
    <n v="281.36"/>
    <n v="1897.95"/>
    <s v="DD"/>
    <n v="115.47071428571428"/>
    <n v="14"/>
    <n v="0"/>
    <n v="0"/>
    <n v="0"/>
    <m/>
  </r>
  <r>
    <x v="23"/>
    <x v="20"/>
    <n v="735"/>
    <n v="35"/>
    <n v="211.09"/>
    <n v="630"/>
    <n v="106.09"/>
    <n v="0"/>
    <n v="841.09"/>
    <n v="148.37"/>
    <n v="989.46"/>
    <s v="DD"/>
    <n v="24.031142857142857"/>
    <n v="35"/>
    <n v="0"/>
    <n v="0"/>
    <n v="0"/>
    <m/>
  </r>
  <r>
    <x v="24"/>
    <x v="20"/>
    <n v="2488"/>
    <n v="68.5"/>
    <n v="2520.6799999999998"/>
    <n v="630"/>
    <n v="662.68"/>
    <n v="0"/>
    <n v="3150.68"/>
    <n v="362.93"/>
    <n v="3513.61"/>
    <s v="DD"/>
    <n v="45.995328467153286"/>
    <n v="68.5"/>
    <n v="425.45678832116789"/>
    <n v="76.58"/>
    <n v="744.54937956204378"/>
    <m/>
  </r>
  <r>
    <x v="16"/>
    <x v="20"/>
    <n v="2291"/>
    <n v="80"/>
    <n v="1535.07"/>
    <n v="1440"/>
    <n v="634.07000000000005"/>
    <n v="50"/>
    <n v="2975.07"/>
    <n v="436.92"/>
    <n v="3411.99"/>
    <s v="DD"/>
    <e v="#DIV/0!"/>
    <m/>
    <e v="#DIV/0!"/>
    <e v="#VALUE!"/>
    <e v="#DIV/0!"/>
    <m/>
  </r>
  <r>
    <x v="16"/>
    <x v="20"/>
    <n v="1933"/>
    <n v="80"/>
    <n v="995.81"/>
    <n v="1440"/>
    <n v="472.81"/>
    <n v="30"/>
    <n v="2435.81"/>
    <n v="386.83"/>
    <n v="2822.64"/>
    <s v="DD"/>
    <e v="#DIV/0!"/>
    <m/>
    <e v="#DIV/0!"/>
    <e v="#VALUE!"/>
    <e v="#DIV/0!"/>
    <m/>
  </r>
  <r>
    <x v="29"/>
    <x v="20"/>
    <n v="2206"/>
    <n v="50"/>
    <n v="1111.94"/>
    <n v="1440"/>
    <n v="325.94"/>
    <n v="20"/>
    <n v="2551.94"/>
    <n v="397.61"/>
    <n v="2949.55"/>
    <s v="DD"/>
    <n v="43.99896551724138"/>
    <n v="58"/>
    <n v="219.9948275862069"/>
    <n v="35.200000000000003"/>
    <n v="384.99094827586208"/>
    <m/>
  </r>
  <r>
    <x v="30"/>
    <x v="20"/>
    <n v="1765"/>
    <n v="80"/>
    <n v="425.5"/>
    <n v="1600"/>
    <n v="230.5"/>
    <n v="30"/>
    <n v="2025.5"/>
    <n v="348.72"/>
    <n v="2374.2199999999998"/>
    <s v="DD"/>
    <n v="23.690058479532162"/>
    <n v="85.5"/>
    <n v="65.147660818713447"/>
    <n v="10.42"/>
    <n v="114.00840643274853"/>
    <m/>
  </r>
  <r>
    <x v="31"/>
    <x v="20"/>
    <n v="1279"/>
    <n v="64"/>
    <n v="161.46"/>
    <n v="1344"/>
    <n v="161.46"/>
    <n v="65"/>
    <n v="1505.46"/>
    <n v="300.39"/>
    <n v="1805.85"/>
    <s v="DD"/>
    <n v="23.522812500000001"/>
    <n v="64"/>
    <n v="0"/>
    <n v="0"/>
    <n v="0"/>
    <m/>
  </r>
  <r>
    <x v="32"/>
    <x v="20"/>
    <n v="2123"/>
    <n v="80"/>
    <n v="312.87"/>
    <n v="2173"/>
    <n v="312.92"/>
    <n v="49.95"/>
    <n v="2485.87"/>
    <n v="391.48"/>
    <n v="2877.35"/>
    <s v="DD"/>
    <n v="24.01806763285024"/>
    <n v="103.5"/>
    <n v="282.21229468599034"/>
    <n v="42.33"/>
    <n v="493.87151570048309"/>
    <m/>
  </r>
  <r>
    <x v="33"/>
    <x v="20"/>
    <n v="2102"/>
    <n v="80"/>
    <n v="308.35000000000002"/>
    <n v="2152"/>
    <n v="308.35000000000002"/>
    <n v="50"/>
    <n v="2460.35"/>
    <n v="389.11"/>
    <n v="2849.46"/>
    <s v="DD"/>
    <n v="24.003414634146342"/>
    <n v="102.5"/>
    <n v="270.03841463414636"/>
    <n v="40.51"/>
    <n v="472.56722560975612"/>
    <m/>
  </r>
  <r>
    <x v="34"/>
    <x v="20"/>
    <n v="2333"/>
    <n v="80"/>
    <n v="364.94"/>
    <n v="2383"/>
    <n v="364.94"/>
    <n v="50"/>
    <n v="2747.94"/>
    <n v="415.82"/>
    <n v="3163.76"/>
    <s v="DD"/>
    <n v="24.210925110132159"/>
    <n v="113.5"/>
    <n v="405.53299559471367"/>
    <n v="56.77"/>
    <n v="709.68274229074893"/>
    <m/>
  </r>
  <r>
    <x v="35"/>
    <x v="20"/>
    <n v="1848"/>
    <n v="50"/>
    <n v="242.07"/>
    <n v="1848"/>
    <n v="242.07"/>
    <n v="0"/>
    <n v="2090.0700000000002"/>
    <n v="354.72"/>
    <n v="2444.79"/>
    <s v="DD"/>
    <n v="23.483932584269663"/>
    <n v="89"/>
    <n v="117.41966292134832"/>
    <n v="16.440000000000001"/>
    <n v="205.48441011235957"/>
    <m/>
  </r>
  <r>
    <x v="37"/>
    <x v="20"/>
    <n v="1870"/>
    <n v="47"/>
    <n v="246.85"/>
    <n v="1870"/>
    <n v="246.85"/>
    <n v="0"/>
    <n v="2116.85"/>
    <n v="357.18"/>
    <n v="2474.0300000000002"/>
    <s v="DD"/>
    <n v="24.904117647058822"/>
    <n v="85"/>
    <n v="87.164411764705875"/>
    <n v="11.33"/>
    <n v="152.53772058823529"/>
    <m/>
  </r>
  <r>
    <x v="38"/>
    <x v="20"/>
    <n v="1702"/>
    <n v="55.5"/>
    <n v="227.66"/>
    <n v="1782"/>
    <n v="227.66"/>
    <n v="80"/>
    <n v="2009.66"/>
    <n v="347.24"/>
    <n v="2356.9"/>
    <s v="DD"/>
    <n v="24.658404907975463"/>
    <n v="81.5"/>
    <n v="191.10263803680985"/>
    <n v="24.84"/>
    <n v="334.42961656441724"/>
    <m/>
  </r>
  <r>
    <x v="39"/>
    <x v="20"/>
    <n v="2008"/>
    <n v="80"/>
    <n v="287.86"/>
    <n v="2058"/>
    <n v="287.86"/>
    <n v="50"/>
    <n v="2345.86"/>
    <n v="378.47"/>
    <n v="2724.33"/>
    <s v="DD"/>
    <n v="26.210726256983243"/>
    <n v="89.5"/>
    <n v="124.50094972067041"/>
    <n v="14.94"/>
    <n v="217.87666201117321"/>
    <m/>
  </r>
  <r>
    <x v="40"/>
    <x v="20"/>
    <n v="2169"/>
    <n v="80"/>
    <n v="324"/>
    <n v="2219"/>
    <n v="324.2"/>
    <n v="50"/>
    <n v="2543.1999999999998"/>
    <n v="396.81"/>
    <n v="2940.01"/>
    <s v="DD"/>
    <n v="26.352331606217618"/>
    <n v="96.5"/>
    <n v="217.40673575129534"/>
    <n v="26.09"/>
    <n v="380.46178756476684"/>
    <m/>
  </r>
  <r>
    <x v="41"/>
    <x v="20"/>
    <n v="440"/>
    <n v="20"/>
    <n v="49.29"/>
    <n v="440"/>
    <n v="49.29"/>
    <n v="0"/>
    <n v="489.29"/>
    <n v="85.59"/>
    <n v="574.88"/>
    <s v="DD"/>
    <n v="24.464500000000001"/>
    <n v="20"/>
    <n v="0"/>
    <n v="0"/>
    <n v="0"/>
    <m/>
  </r>
  <r>
    <x v="69"/>
    <x v="21"/>
    <m/>
    <n v="78"/>
    <m/>
    <m/>
    <m/>
    <m/>
    <m/>
    <m/>
    <m/>
    <m/>
    <n v="26.26"/>
    <n v="78"/>
    <n v="2218.9700000000003"/>
    <n v="199.71"/>
    <n v="3883.1975000000002"/>
    <n v="546.07000000000005"/>
  </r>
  <r>
    <x v="70"/>
    <x v="21"/>
    <m/>
    <n v="49.5"/>
    <m/>
    <m/>
    <m/>
    <m/>
    <m/>
    <m/>
    <m/>
    <m/>
    <n v="26.26"/>
    <n v="49.5"/>
    <n v="1424.605"/>
    <n v="113.97"/>
    <n v="2493.0587500000001"/>
    <m/>
  </r>
  <r>
    <x v="71"/>
    <x v="21"/>
    <m/>
    <n v="92"/>
    <m/>
    <m/>
    <m/>
    <m/>
    <m/>
    <m/>
    <m/>
    <m/>
    <n v="26.26"/>
    <n v="92"/>
    <n v="2573.48"/>
    <n v="205.88"/>
    <n v="4503.59"/>
    <m/>
  </r>
  <r>
    <x v="72"/>
    <x v="21"/>
    <m/>
    <n v="79.5"/>
    <m/>
    <m/>
    <m/>
    <m/>
    <m/>
    <m/>
    <m/>
    <m/>
    <n v="26.26"/>
    <n v="79.5"/>
    <n v="2087.67"/>
    <n v="146.13999999999999"/>
    <n v="3653.4225000000001"/>
    <m/>
  </r>
  <r>
    <x v="73"/>
    <x v="21"/>
    <m/>
    <n v="44.5"/>
    <m/>
    <m/>
    <m/>
    <m/>
    <m/>
    <m/>
    <m/>
    <m/>
    <n v="26.26"/>
    <n v="44.5"/>
    <n v="2606.3050000000003"/>
    <n v="182.44"/>
    <n v="4561.0337500000005"/>
    <m/>
  </r>
  <r>
    <x v="74"/>
    <x v="21"/>
    <m/>
    <n v="24"/>
    <m/>
    <m/>
    <m/>
    <m/>
    <m/>
    <m/>
    <m/>
    <m/>
    <n v="26.26"/>
    <n v="24"/>
    <n v="630.24"/>
    <n v="44.12"/>
    <n v="1102.92"/>
    <m/>
  </r>
  <r>
    <x v="75"/>
    <x v="21"/>
    <m/>
    <n v="80"/>
    <m/>
    <m/>
    <m/>
    <m/>
    <m/>
    <m/>
    <m/>
    <m/>
    <n v="26.26"/>
    <n v="80"/>
    <n v="2100.8000000000002"/>
    <n v="105.04"/>
    <n v="3676.4000000000005"/>
    <m/>
  </r>
  <r>
    <x v="76"/>
    <x v="21"/>
    <m/>
    <n v="96.5"/>
    <m/>
    <m/>
    <m/>
    <m/>
    <m/>
    <m/>
    <m/>
    <m/>
    <n v="26.26"/>
    <n v="96.5"/>
    <n v="2750.7350000000001"/>
    <n v="137.54"/>
    <n v="4813.7862500000001"/>
    <m/>
  </r>
  <r>
    <x v="77"/>
    <x v="21"/>
    <m/>
    <n v="52"/>
    <m/>
    <m/>
    <m/>
    <m/>
    <m/>
    <m/>
    <m/>
    <m/>
    <n v="26.26"/>
    <n v="52"/>
    <n v="1523.0800000000002"/>
    <n v="60.92"/>
    <n v="2665.3900000000003"/>
    <m/>
  </r>
  <r>
    <x v="78"/>
    <x v="21"/>
    <m/>
    <n v="72"/>
    <m/>
    <m/>
    <m/>
    <m/>
    <m/>
    <m/>
    <m/>
    <m/>
    <n v="26.26"/>
    <n v="72"/>
    <n v="1890.72"/>
    <n v="75.63"/>
    <n v="3308.76"/>
    <m/>
  </r>
  <r>
    <x v="53"/>
    <x v="22"/>
    <m/>
    <n v="36"/>
    <m/>
    <m/>
    <m/>
    <m/>
    <m/>
    <m/>
    <m/>
    <m/>
    <n v="26.26"/>
    <n v="36"/>
    <n v="945.36"/>
    <n v="122.9"/>
    <n v="1654.38"/>
    <n v="546.07000000000005"/>
  </r>
  <r>
    <x v="38"/>
    <x v="22"/>
    <n v="1785"/>
    <n v="80"/>
    <n v="280.64999999999998"/>
    <n v="2025"/>
    <n v="280.64999999999998"/>
    <n v="240"/>
    <n v="2305.65"/>
    <n v="388.56"/>
    <n v="2694.21"/>
    <n v="100185"/>
    <n v="20.494666666666667"/>
    <n v="112.5"/>
    <n v="333.03833333333336"/>
    <n v="43.29"/>
    <n v="582.81708333333336"/>
    <m/>
  </r>
  <r>
    <x v="39"/>
    <x v="22"/>
    <n v="1710"/>
    <n v="80"/>
    <n v="211.96"/>
    <n v="1710"/>
    <n v="211.96"/>
    <n v="0"/>
    <n v="1921.96"/>
    <n v="350.63"/>
    <n v="2272.59"/>
    <n v="100186"/>
    <n v="20.231157894736842"/>
    <n v="95"/>
    <n v="151.73368421052632"/>
    <n v="18.21"/>
    <n v="265.53394736842108"/>
    <m/>
  </r>
  <r>
    <x v="40"/>
    <x v="22"/>
    <n v="1958"/>
    <n v="80"/>
    <n v="266.05"/>
    <n v="1958"/>
    <n v="266.05"/>
    <n v="0"/>
    <n v="2224.0500000000002"/>
    <n v="380.49"/>
    <n v="2604.54"/>
    <s v="DD"/>
    <n v="21.181428571428572"/>
    <n v="105"/>
    <n v="264.76785714285717"/>
    <n v="31.77"/>
    <n v="463.34375000000006"/>
    <m/>
  </r>
  <r>
    <x v="41"/>
    <x v="22"/>
    <n v="1862"/>
    <n v="80"/>
    <n v="245.11"/>
    <n v="1862"/>
    <n v="245.11"/>
    <n v="0"/>
    <n v="2107.11"/>
    <n v="359.57"/>
    <n v="2466.6799999999998"/>
    <s v="DD"/>
    <n v="21.501122448979594"/>
    <n v="98"/>
    <n v="193.51010204081635"/>
    <n v="21.29"/>
    <n v="338.64267857142863"/>
    <m/>
  </r>
  <r>
    <x v="42"/>
    <x v="22"/>
    <n v="1282"/>
    <n v="40.5"/>
    <n v="156.16"/>
    <n v="1282"/>
    <n v="156.16"/>
    <n v="0"/>
    <n v="1438.16"/>
    <n v="294.16000000000003"/>
    <n v="1732.32"/>
    <s v="DD"/>
    <n v="21.306074074074075"/>
    <n v="67.5"/>
    <n v="5.3265185185185189"/>
    <n v="0.59"/>
    <n v="9.321407407407408"/>
    <m/>
  </r>
  <r>
    <x v="43"/>
    <x v="22"/>
    <n v="1700"/>
    <n v="80"/>
    <n v="209.78"/>
    <n v="1700"/>
    <n v="209.78"/>
    <n v="0"/>
    <n v="1909.78"/>
    <n v="337.96"/>
    <n v="2247.7399999999998"/>
    <s v="DD"/>
    <n v="21.33832402234637"/>
    <n v="89.5"/>
    <n v="101.35703910614527"/>
    <n v="10.14"/>
    <n v="177.37481843575421"/>
    <m/>
  </r>
  <r>
    <x v="44"/>
    <x v="22"/>
    <n v="1662"/>
    <n v="49.5"/>
    <n v="197.28"/>
    <n v="1662"/>
    <n v="197.28"/>
    <n v="0"/>
    <n v="1859.28"/>
    <n v="344.43"/>
    <n v="2203.71"/>
    <s v="DD"/>
    <n v="21.248914285714285"/>
    <n v="87.5"/>
    <n v="100.93234285714286"/>
    <n v="10.09"/>
    <n v="176.63159999999999"/>
    <m/>
  </r>
  <r>
    <x v="45"/>
    <x v="22"/>
    <n v="1073"/>
    <n v="41.5"/>
    <m/>
    <n v="1073"/>
    <n v="115.07"/>
    <n v="0"/>
    <n v="1188.07"/>
    <n v="220.48"/>
    <n v="1408.55"/>
    <s v="DD"/>
    <n v="18.991150442477878"/>
    <n v="56.5"/>
    <n v="14.243362831858409"/>
    <n v="1.28"/>
    <n v="24.925884955752217"/>
    <m/>
  </r>
  <r>
    <x v="46"/>
    <x v="22"/>
    <n v="1786"/>
    <n v="80"/>
    <m/>
    <n v="1786"/>
    <n v="184.16"/>
    <n v="0"/>
    <n v="1970.16"/>
    <n v="337.19"/>
    <n v="2307.35"/>
    <s v="DD"/>
    <n v="19"/>
    <n v="94"/>
    <n v="133"/>
    <n v="11.97"/>
    <n v="232.75"/>
    <m/>
  </r>
  <r>
    <x v="11"/>
    <x v="23"/>
    <m/>
    <n v="47"/>
    <m/>
    <m/>
    <m/>
    <m/>
    <m/>
    <m/>
    <m/>
    <m/>
    <n v="26.79"/>
    <n v="47"/>
    <n v="1352.895"/>
    <n v="324.69"/>
    <n v="2367.5662499999999"/>
    <n v="546.07000000000005"/>
  </r>
  <r>
    <x v="12"/>
    <x v="23"/>
    <n v="2280"/>
    <n v="80"/>
    <n v="194.88"/>
    <n v="2320"/>
    <n v="234.88"/>
    <n v="0"/>
    <n v="2514.88"/>
    <n v="413.54"/>
    <n v="2928.42"/>
    <s v="DD"/>
    <n v="20.446178861788617"/>
    <n v="123"/>
    <n v="439.59284552845526"/>
    <n v="101.11"/>
    <n v="769.28747967479671"/>
    <m/>
  </r>
  <r>
    <x v="13"/>
    <x v="23"/>
    <n v="1190"/>
    <n v="70"/>
    <n v="225.41"/>
    <n v="1750"/>
    <n v="435.41"/>
    <n v="350"/>
    <n v="1975.41"/>
    <n v="339.2"/>
    <n v="2314.61"/>
    <s v="DD"/>
    <n v="28.220142857142857"/>
    <n v="70"/>
    <n v="211.65107142857144"/>
    <n v="48.68"/>
    <n v="370.38937500000003"/>
    <m/>
  </r>
  <r>
    <x v="14"/>
    <x v="23"/>
    <n v="1686"/>
    <n v="80"/>
    <n v="848.03"/>
    <n v="2480"/>
    <n v="842.03"/>
    <n v="800"/>
    <n v="3328.03"/>
    <n v="490.44"/>
    <n v="3818.47"/>
    <s v="DD"/>
    <n v="29.451592920353981"/>
    <n v="113"/>
    <n v="485.95128318584068"/>
    <n v="106.91"/>
    <n v="850.41474557522122"/>
    <m/>
  </r>
  <r>
    <x v="15"/>
    <x v="23"/>
    <n v="1641"/>
    <n v="80"/>
    <n v="867.87"/>
    <n v="1760"/>
    <n v="636.87"/>
    <n v="350"/>
    <n v="2627.87"/>
    <n v="424.91"/>
    <n v="3052.78"/>
    <s v="DD"/>
    <n v="29.037237569060771"/>
    <n v="90.5"/>
    <n v="152.44549723756904"/>
    <n v="33.54"/>
    <n v="266.77962016574583"/>
    <m/>
  </r>
  <r>
    <x v="16"/>
    <x v="23"/>
    <n v="508.92"/>
    <n v="0"/>
    <n v="508.92"/>
    <m/>
    <n v="95.25"/>
    <n v="0"/>
    <n v="604.16999999999996"/>
    <n v="60.77"/>
    <n v="664.94"/>
    <s v="DD"/>
    <e v="#DIV/0!"/>
    <m/>
    <e v="#DIV/0!"/>
    <e v="#VALUE!"/>
    <e v="#DIV/0!"/>
    <m/>
  </r>
  <r>
    <x v="16"/>
    <x v="23"/>
    <n v="1191.08"/>
    <n v="80"/>
    <n v="440"/>
    <n v="1760"/>
    <n v="508.92"/>
    <n v="500"/>
    <n v="2200"/>
    <n v="381.86"/>
    <n v="2581.86"/>
    <s v="DD"/>
    <e v="#DIV/0!"/>
    <m/>
    <e v="#DIV/0!"/>
    <e v="#VALUE!"/>
    <e v="#DIV/0!"/>
    <m/>
  </r>
  <r>
    <x v="16"/>
    <x v="23"/>
    <n v="2352"/>
    <n v="80"/>
    <n v="1816.32"/>
    <n v="1760"/>
    <n v="924.32"/>
    <n v="300"/>
    <n v="3576.32"/>
    <n v="508.28"/>
    <n v="4084.6"/>
    <s v="DD"/>
    <e v="#DIV/0!"/>
    <m/>
    <e v="#DIV/0!"/>
    <e v="#VALUE!"/>
    <e v="#DIV/0!"/>
    <m/>
  </r>
  <r>
    <x v="79"/>
    <x v="24"/>
    <m/>
    <n v="60"/>
    <m/>
    <m/>
    <m/>
    <m/>
    <m/>
    <m/>
    <m/>
    <m/>
    <n v="26.26"/>
    <n v="60"/>
    <n v="1680.6399999999999"/>
    <n v="302.52"/>
    <n v="2941.12"/>
    <n v="546.07000000000005"/>
  </r>
  <r>
    <x v="18"/>
    <x v="25"/>
    <n v="1717"/>
    <n v="80"/>
    <n v="193.48"/>
    <n v="1717"/>
    <n v="193.48"/>
    <n v="0"/>
    <n v="1910.48"/>
    <n v="352.73"/>
    <n v="2263.21"/>
    <n v="100154"/>
    <n v="18.915643564356436"/>
    <n v="101"/>
    <n v="198.61425742574258"/>
    <n v="41.71"/>
    <n v="347.57495049504951"/>
    <n v="546.07000000000005"/>
  </r>
  <r>
    <x v="26"/>
    <x v="25"/>
    <n v="1173"/>
    <n v="69"/>
    <n v="212.93"/>
    <n v="1173"/>
    <n v="212.93"/>
    <n v="0"/>
    <n v="1385.93"/>
    <n v="299.98"/>
    <n v="1685.91"/>
    <n v="100156"/>
    <n v="20.085942028985507"/>
    <n v="69"/>
    <n v="0"/>
    <n v="0"/>
    <n v="0"/>
    <m/>
  </r>
  <r>
    <x v="20"/>
    <x v="25"/>
    <n v="1589"/>
    <n v="80"/>
    <n v="312.87"/>
    <n v="1589"/>
    <n v="312.87"/>
    <n v="0"/>
    <n v="1901.87"/>
    <n v="351.86"/>
    <n v="2253.73"/>
    <s v="DD"/>
    <n v="20.340855614973261"/>
    <n v="93.5"/>
    <n v="137.3007754010695"/>
    <n v="27.46"/>
    <n v="240.27635695187163"/>
    <m/>
  </r>
  <r>
    <x v="21"/>
    <x v="25"/>
    <n v="1598"/>
    <n v="80"/>
    <n v="315.12"/>
    <n v="1598"/>
    <n v="315.12"/>
    <n v="0"/>
    <n v="1913.12"/>
    <n v="352.33"/>
    <n v="2265.4499999999998"/>
    <s v="DD"/>
    <n v="21.74"/>
    <n v="88"/>
    <n v="86.96"/>
    <n v="16.52"/>
    <n v="152.17999999999998"/>
    <m/>
  </r>
  <r>
    <x v="22"/>
    <x v="25"/>
    <n v="1496"/>
    <n v="80"/>
    <n v="289.75"/>
    <n v="1496"/>
    <n v="289.75"/>
    <n v="0"/>
    <n v="1785.75"/>
    <n v="329.46"/>
    <n v="2115.21"/>
    <s v="DD"/>
    <n v="20.292613636363637"/>
    <n v="88"/>
    <n v="81.170454545454547"/>
    <n v="15.42"/>
    <n v="142.04829545454547"/>
    <m/>
  </r>
  <r>
    <x v="23"/>
    <x v="25"/>
    <n v="748"/>
    <n v="44"/>
    <n v="96.95"/>
    <n v="748"/>
    <n v="96.95"/>
    <n v="0"/>
    <n v="844.95"/>
    <n v="166.79"/>
    <n v="1011.74"/>
    <s v="DD"/>
    <n v="19.203409090909091"/>
    <n v="44"/>
    <n v="38.406818181818181"/>
    <n v="6.91"/>
    <n v="67.211931818181824"/>
    <m/>
  </r>
  <r>
    <x v="16"/>
    <x v="25"/>
    <n v="1020"/>
    <n v="60"/>
    <n v="166.62"/>
    <n v="1020"/>
    <n v="166.62"/>
    <n v="0"/>
    <n v="1186.6199999999999"/>
    <n v="230.64"/>
    <n v="1417.26"/>
    <s v="DD"/>
    <e v="#DIV/0!"/>
    <m/>
    <e v="#DIV/0!"/>
    <e v="#VALUE!"/>
    <e v="#DIV/0!"/>
    <m/>
  </r>
  <r>
    <x v="27"/>
    <x v="25"/>
    <n v="1666"/>
    <n v="80"/>
    <n v="332"/>
    <n v="1666"/>
    <n v="332"/>
    <n v="0"/>
    <n v="1998"/>
    <n v="346.16"/>
    <n v="2344.16"/>
    <s v="DD"/>
    <n v="20.387755102040817"/>
    <n v="98"/>
    <n v="183.48979591836735"/>
    <n v="31.19"/>
    <n v="321.10714285714289"/>
    <m/>
  </r>
  <r>
    <x v="28"/>
    <x v="25"/>
    <n v="1666"/>
    <n v="80"/>
    <n v="337.98"/>
    <n v="1660"/>
    <n v="331.98"/>
    <n v="0"/>
    <n v="1997.98"/>
    <n v="346.15"/>
    <n v="2344.13"/>
    <s v="DD"/>
    <n v="20.387551020408164"/>
    <n v="98"/>
    <n v="183.48795918367347"/>
    <n v="31.19"/>
    <n v="321.10392857142858"/>
    <m/>
  </r>
  <r>
    <x v="29"/>
    <x v="25"/>
    <n v="2201"/>
    <n v="80"/>
    <n v="319.74"/>
    <n v="2201"/>
    <n v="319.74"/>
    <n v="0"/>
    <n v="2520.7399999999998"/>
    <n v="394.71"/>
    <n v="2915.45"/>
    <s v="DD"/>
    <n v="19.465173745173743"/>
    <n v="129.5"/>
    <n v="481.76305019305016"/>
    <n v="77.08"/>
    <n v="843.08533783783776"/>
    <m/>
  </r>
  <r>
    <x v="30"/>
    <x v="25"/>
    <n v="2014"/>
    <n v="57.5"/>
    <n v="218.96"/>
    <n v="2014"/>
    <n v="218.96"/>
    <n v="0"/>
    <n v="2232.96"/>
    <n v="367.98"/>
    <n v="2600.94"/>
    <s v="DD"/>
    <n v="18.843544303797469"/>
    <n v="118.5"/>
    <n v="2638.0962025316458"/>
    <n v="422.1"/>
    <n v="4616.6683544303796"/>
    <m/>
  </r>
  <r>
    <x v="31"/>
    <x v="25"/>
    <n v="1632"/>
    <n v="43.5"/>
    <n v="194.95"/>
    <n v="1632"/>
    <n v="194.95"/>
    <n v="0"/>
    <n v="1826.95"/>
    <n v="330.27"/>
    <n v="2157.2199999999998"/>
    <s v="DD"/>
    <n v="19.030729166666667"/>
    <n v="96"/>
    <n v="2007.7419270833334"/>
    <n v="301.16000000000003"/>
    <n v="3513.5483723958332"/>
    <m/>
  </r>
  <r>
    <x v="32"/>
    <x v="25"/>
    <n v="646"/>
    <n v="80"/>
    <n v="101.54"/>
    <n v="646"/>
    <n v="101.57"/>
    <n v="-0.03"/>
    <n v="747.54"/>
    <n v="229.99"/>
    <n v="977.53"/>
    <n v="100180"/>
    <n v="16"/>
    <n v="124"/>
    <n v="352"/>
    <n v="52.8"/>
    <n v="616"/>
    <m/>
  </r>
  <r>
    <x v="33"/>
    <x v="25"/>
    <n v="918"/>
    <n v="51"/>
    <n v="108.19"/>
    <n v="918"/>
    <n v="108.19"/>
    <n v="0"/>
    <n v="1026.19"/>
    <n v="197.67"/>
    <n v="1223.8599999999999"/>
    <s v="DD"/>
    <n v="16"/>
    <n v="125.5"/>
    <n v="364"/>
    <n v="54.6"/>
    <n v="637"/>
    <m/>
  </r>
  <r>
    <x v="34"/>
    <x v="25"/>
    <n v="2178"/>
    <n v="80"/>
    <n v="314.02"/>
    <n v="2178"/>
    <n v="314.02"/>
    <n v="0"/>
    <n v="2492.02"/>
    <n v="392.06"/>
    <n v="2884.08"/>
    <s v="DD"/>
    <n v="18.189927007299271"/>
    <n v="137"/>
    <n v="518.41291970802922"/>
    <n v="72.58"/>
    <n v="907.22260948905114"/>
    <m/>
  </r>
  <r>
    <x v="35"/>
    <x v="25"/>
    <n v="1602"/>
    <n v="55"/>
    <n v="188.41"/>
    <n v="1602"/>
    <n v="188.41"/>
    <n v="0"/>
    <n v="1790.41"/>
    <n v="326.86"/>
    <n v="2117.27"/>
    <s v="DD"/>
    <n v="20.004581005586594"/>
    <n v="89.5"/>
    <n v="150.03435754189945"/>
    <n v="21"/>
    <n v="262.56012569832404"/>
    <m/>
  </r>
  <r>
    <x v="37"/>
    <x v="25"/>
    <n v="2268"/>
    <n v="80"/>
    <n v="336.4"/>
    <n v="2268"/>
    <n v="336.4"/>
    <n v="0"/>
    <n v="2604.4"/>
    <n v="402.5"/>
    <n v="3006.9"/>
    <s v="DD"/>
    <n v="20.669841269841271"/>
    <n v="126"/>
    <n v="475.4063492063492"/>
    <n v="61.8"/>
    <n v="831.96111111111111"/>
    <m/>
  </r>
  <r>
    <x v="38"/>
    <x v="25"/>
    <n v="2241"/>
    <n v="80"/>
    <n v="329.66"/>
    <n v="2241"/>
    <n v="329.66"/>
    <n v="0"/>
    <n v="2570.66"/>
    <n v="399.34"/>
    <n v="2970"/>
    <s v="DD"/>
    <n v="20.647871485943774"/>
    <n v="124.5"/>
    <n v="459.41514056224901"/>
    <n v="59.72"/>
    <n v="803.97649598393582"/>
    <m/>
  </r>
  <r>
    <x v="39"/>
    <x v="25"/>
    <n v="1638"/>
    <n v="80"/>
    <n v="196.26"/>
    <n v="1638"/>
    <n v="196.26"/>
    <n v="0"/>
    <n v="1834.26"/>
    <n v="330.95"/>
    <n v="2165.21"/>
    <s v="DD"/>
    <n v="19.206910994764399"/>
    <n v="95.5"/>
    <n v="148.8535602094241"/>
    <n v="17.86"/>
    <n v="260.49373036649217"/>
    <m/>
  </r>
  <r>
    <x v="40"/>
    <x v="25"/>
    <n v="2169"/>
    <n v="80"/>
    <n v="312.06"/>
    <n v="2169"/>
    <n v="312.06"/>
    <n v="0"/>
    <n v="2481.06"/>
    <n v="391.03"/>
    <n v="2872.09"/>
    <s v="DD"/>
    <n v="20.589709543568464"/>
    <n v="120.5"/>
    <n v="416.94161825726138"/>
    <n v="50.03"/>
    <n v="729.64783195020743"/>
    <m/>
  </r>
  <r>
    <x v="41"/>
    <x v="25"/>
    <n v="1531"/>
    <n v="66.5"/>
    <n v="177.52"/>
    <n v="1531"/>
    <n v="177.52"/>
    <n v="0"/>
    <n v="1708.52"/>
    <n v="319.27"/>
    <n v="2027.79"/>
    <s v="DD"/>
    <n v="19.089608938547485"/>
    <n v="89.5"/>
    <n v="252.93731843575418"/>
    <n v="27.82"/>
    <n v="442.64030726256982"/>
    <m/>
  </r>
  <r>
    <x v="80"/>
    <x v="26"/>
    <m/>
    <n v="88.5"/>
    <m/>
    <m/>
    <m/>
    <m/>
    <m/>
    <m/>
    <m/>
    <m/>
    <n v="26.26"/>
    <n v="88.5"/>
    <n v="2475.0050000000001"/>
    <n v="99"/>
    <n v="4331.25875"/>
    <n v="546.07000000000005"/>
  </r>
  <r>
    <x v="78"/>
    <x v="26"/>
    <m/>
    <n v="80.5"/>
    <m/>
    <m/>
    <m/>
    <m/>
    <m/>
    <m/>
    <m/>
    <m/>
    <n v="26.26"/>
    <n v="80.5"/>
    <n v="2369.9650000000001"/>
    <n v="94.8"/>
    <n v="4147.4387500000003"/>
    <m/>
  </r>
  <r>
    <x v="16"/>
    <x v="27"/>
    <n v="1044"/>
    <n v="80"/>
    <n v="135.72"/>
    <n v="1044"/>
    <n v="135.72"/>
    <n v="0"/>
    <n v="1179.72"/>
    <n v="277.22000000000003"/>
    <n v="1456.94"/>
    <n v="100188"/>
    <e v="#DIV/0!"/>
    <m/>
    <e v="#DIV/0!"/>
    <e v="#VALUE!"/>
    <e v="#DIV/0!"/>
    <n v="409.55"/>
  </r>
  <r>
    <x v="41"/>
    <x v="27"/>
    <n v="2376"/>
    <n v="80"/>
    <n v="399"/>
    <n v="2520"/>
    <n v="399"/>
    <n v="144"/>
    <n v="2919"/>
    <n v="449.22"/>
    <n v="3368.22"/>
    <n v="100189"/>
    <n v="20.85"/>
    <n v="140"/>
    <n v="625.5"/>
    <n v="68.81"/>
    <n v="1094.625"/>
    <n v="546.07000000000005"/>
  </r>
  <r>
    <x v="42"/>
    <x v="27"/>
    <n v="1845"/>
    <n v="69"/>
    <n v="241.41"/>
    <n v="1845"/>
    <n v="241.41"/>
    <n v="0"/>
    <n v="2086.41"/>
    <n v="366.89"/>
    <n v="2453.3000000000002"/>
    <s v="DD"/>
    <n v="20.35521951219512"/>
    <n v="102.5"/>
    <n v="295.15068292682923"/>
    <n v="32.47"/>
    <n v="516.51369512195117"/>
    <m/>
  </r>
  <r>
    <x v="43"/>
    <x v="27"/>
    <n v="1530"/>
    <n v="57.5"/>
    <n v="177.43"/>
    <n v="1530"/>
    <n v="177.43"/>
    <n v="0"/>
    <n v="1707.43"/>
    <n v="324.05"/>
    <n v="2031.48"/>
    <s v="DD"/>
    <n v="20.087411764705884"/>
    <n v="85"/>
    <n v="175.76485294117649"/>
    <n v="17.579999999999998"/>
    <n v="307.58849264705884"/>
    <m/>
  </r>
  <r>
    <x v="44"/>
    <x v="27"/>
    <n v="612"/>
    <n v="34"/>
    <n v="72.13"/>
    <n v="612"/>
    <n v="72.13"/>
    <n v="0"/>
    <n v="684.13"/>
    <n v="135.88999999999999"/>
    <n v="820.02"/>
    <s v="DD"/>
    <n v="20.121470588235294"/>
    <n v="34"/>
    <n v="0"/>
    <n v="0"/>
    <n v="0"/>
    <m/>
  </r>
  <r>
    <x v="46"/>
    <x v="27"/>
    <n v="2428"/>
    <n v="52.5"/>
    <m/>
    <n v="1440"/>
    <n v="296.99"/>
    <n v="12"/>
    <n v="2736.99"/>
    <n v="385.8"/>
    <n v="3122.79"/>
    <s v="DD"/>
    <n v="20"/>
    <n v="72"/>
    <n v="125"/>
    <n v="11.25"/>
    <n v="218.75"/>
    <m/>
  </r>
  <r>
    <x v="47"/>
    <x v="27"/>
    <n v="1895"/>
    <n v="59.5"/>
    <m/>
    <n v="1930"/>
    <n v="201.11"/>
    <n v="35"/>
    <n v="2131.11"/>
    <n v="303.3"/>
    <n v="2434.41"/>
    <s v="DD"/>
    <n v="20"/>
    <n v="96.5"/>
    <n v="195"/>
    <n v="15.6"/>
    <n v="341.25"/>
    <m/>
  </r>
  <r>
    <x v="48"/>
    <x v="27"/>
    <n v="1710"/>
    <n v="80"/>
    <m/>
    <n v="1710"/>
    <n v="168.82"/>
    <n v="0"/>
    <n v="1878.82"/>
    <n v="281.54000000000002"/>
    <n v="2160.36"/>
    <s v="DD"/>
    <n v="20"/>
    <n v="85.5"/>
    <n v="55"/>
    <n v="4.4000000000000004"/>
    <n v="96.25"/>
    <m/>
  </r>
  <r>
    <x v="49"/>
    <x v="27"/>
    <n v="1700"/>
    <n v="80"/>
    <m/>
    <n v="1700"/>
    <n v="168.02"/>
    <n v="0"/>
    <n v="1868.02"/>
    <n v="271.77"/>
    <n v="2139.79"/>
    <s v="DD"/>
    <n v="20"/>
    <n v="85"/>
    <n v="50"/>
    <n v="4"/>
    <n v="87.5"/>
    <m/>
  </r>
  <r>
    <x v="50"/>
    <x v="27"/>
    <n v="710.54"/>
    <n v="31"/>
    <m/>
    <n v="787.5"/>
    <n v="76.959999999999994"/>
    <n v="0"/>
    <n v="787.5"/>
    <n v="122.34"/>
    <n v="909.84"/>
    <s v="DD"/>
    <n v="22.5"/>
    <n v="35"/>
    <n v="0"/>
    <n v="0"/>
    <n v="0"/>
    <m/>
  </r>
  <r>
    <x v="11"/>
    <x v="28"/>
    <m/>
    <n v="47"/>
    <m/>
    <m/>
    <m/>
    <m/>
    <m/>
    <m/>
    <m/>
    <m/>
    <n v="33.200000000000003"/>
    <n v="47"/>
    <n v="1676.6"/>
    <n v="402.38"/>
    <n v="2934.0499999999997"/>
    <n v="546.07000000000005"/>
  </r>
  <r>
    <x v="36"/>
    <x v="28"/>
    <m/>
    <n v="125"/>
    <m/>
    <m/>
    <m/>
    <m/>
    <m/>
    <m/>
    <m/>
    <m/>
    <n v="33.200000000000003"/>
    <n v="125"/>
    <n v="4897"/>
    <n v="1175.28"/>
    <n v="8569.75"/>
    <m/>
  </r>
  <r>
    <x v="81"/>
    <x v="28"/>
    <m/>
    <n v="61.5"/>
    <m/>
    <m/>
    <m/>
    <m/>
    <m/>
    <m/>
    <m/>
    <m/>
    <n v="33.200000000000003"/>
    <n v="61.5"/>
    <n v="2149.7000000000003"/>
    <n v="236.47"/>
    <n v="3761.9750000000004"/>
    <m/>
  </r>
  <r>
    <x v="82"/>
    <x v="28"/>
    <m/>
    <n v="121"/>
    <m/>
    <m/>
    <m/>
    <m/>
    <m/>
    <m/>
    <m/>
    <m/>
    <n v="33.200000000000003"/>
    <n v="121"/>
    <n v="4697.8"/>
    <n v="516.76"/>
    <n v="8221.15"/>
    <m/>
  </r>
  <r>
    <x v="83"/>
    <x v="28"/>
    <m/>
    <n v="87.5"/>
    <m/>
    <m/>
    <m/>
    <m/>
    <m/>
    <m/>
    <m/>
    <m/>
    <n v="33.200000000000003"/>
    <n v="87.5"/>
    <n v="3029.5"/>
    <n v="666.49"/>
    <n v="5301.625"/>
    <m/>
  </r>
  <r>
    <x v="84"/>
    <x v="28"/>
    <m/>
    <n v="121.5"/>
    <m/>
    <m/>
    <m/>
    <m/>
    <m/>
    <m/>
    <m/>
    <m/>
    <n v="33.200000000000003"/>
    <n v="121.5"/>
    <n v="4722.7000000000007"/>
    <n v="991.77"/>
    <n v="8264.7250000000022"/>
    <m/>
  </r>
  <r>
    <x v="85"/>
    <x v="28"/>
    <m/>
    <n v="28"/>
    <m/>
    <m/>
    <m/>
    <m/>
    <m/>
    <m/>
    <m/>
    <m/>
    <n v="33.200000000000003"/>
    <n v="28"/>
    <n v="929.60000000000014"/>
    <n v="195.22"/>
    <n v="1626.8000000000002"/>
    <m/>
  </r>
  <r>
    <x v="16"/>
    <x v="28"/>
    <n v="2100"/>
    <n v="80"/>
    <n v="326.33999999999997"/>
    <n v="2000"/>
    <n v="226.34"/>
    <n v="0"/>
    <n v="2326.34"/>
    <n v="394.57"/>
    <n v="2720.91"/>
    <n v="100167"/>
    <e v="#DIV/0!"/>
    <m/>
    <e v="#DIV/0!"/>
    <e v="#VALUE!"/>
    <e v="#DIV/0!"/>
    <n v="409.55"/>
  </r>
  <r>
    <x v="16"/>
    <x v="28"/>
    <n v="2300"/>
    <n v="80"/>
    <n v="837.96"/>
    <n v="2000"/>
    <n v="537.96"/>
    <n v="0"/>
    <n v="2837.96"/>
    <n v="446.05"/>
    <n v="3284.01"/>
    <n v="100163"/>
    <e v="#DIV/0!"/>
    <m/>
    <e v="#DIV/0!"/>
    <e v="#VALUE!"/>
    <e v="#DIV/0!"/>
    <m/>
  </r>
  <r>
    <x v="16"/>
    <x v="28"/>
    <n v="2310"/>
    <n v="80"/>
    <n v="850.43"/>
    <n v="2000"/>
    <n v="540.42999999999995"/>
    <n v="0"/>
    <n v="2850.43"/>
    <n v="441.19"/>
    <n v="3291.62"/>
    <n v="100168"/>
    <e v="#DIV/0!"/>
    <m/>
    <e v="#DIV/0!"/>
    <e v="#VALUE!"/>
    <e v="#DIV/0!"/>
    <m/>
  </r>
  <r>
    <x v="16"/>
    <x v="28"/>
    <n v="2310"/>
    <n v="80"/>
    <n v="850.44"/>
    <n v="2000"/>
    <n v="540.44000000000005"/>
    <n v="0"/>
    <n v="2850.44"/>
    <n v="430.19"/>
    <n v="3280.63"/>
    <s v="DD"/>
    <e v="#DIV/0!"/>
    <m/>
    <e v="#DIV/0!"/>
    <e v="#VALUE!"/>
    <e v="#DIV/0!"/>
    <m/>
  </r>
  <r>
    <x v="23"/>
    <x v="28"/>
    <n v="2150"/>
    <n v="59"/>
    <n v="650.67999999999995"/>
    <n v="2000"/>
    <n v="500.68"/>
    <n v="0"/>
    <n v="2650.68"/>
    <n v="406.79"/>
    <n v="3057.47"/>
    <s v="DD"/>
    <n v="44.926779661016944"/>
    <n v="59"/>
    <n v="0"/>
    <n v="0"/>
    <n v="0"/>
    <m/>
  </r>
  <r>
    <x v="24"/>
    <x v="28"/>
    <n v="2570"/>
    <n v="80"/>
    <n v="1175.03"/>
    <n v="2000"/>
    <n v="605.03"/>
    <n v="0"/>
    <n v="3175.03"/>
    <n v="455.5"/>
    <n v="3630.53"/>
    <s v="DD"/>
    <n v="32.901865284974093"/>
    <n v="96.5"/>
    <n v="271.44038860103626"/>
    <n v="48.86"/>
    <n v="475.02068005181343"/>
    <m/>
  </r>
  <r>
    <x v="27"/>
    <x v="28"/>
    <n v="2570"/>
    <n v="80"/>
    <n v="1175.04"/>
    <n v="2000"/>
    <n v="605.04"/>
    <n v="0"/>
    <n v="3175.04"/>
    <n v="455.52"/>
    <n v="3630.56"/>
    <s v="DD"/>
    <n v="36.919069767441862"/>
    <n v="86"/>
    <n v="110.75720930232558"/>
    <n v="18.829999999999998"/>
    <n v="193.82511627906976"/>
    <m/>
  </r>
  <r>
    <x v="28"/>
    <x v="28"/>
    <n v="2060"/>
    <n v="56"/>
    <n v="538.29"/>
    <n v="2000"/>
    <n v="478.29"/>
    <n v="0"/>
    <n v="2538.29"/>
    <n v="396.34"/>
    <n v="2934.63"/>
    <s v="DD"/>
    <n v="37.327794117647059"/>
    <n v="68"/>
    <n v="298.62235294117647"/>
    <n v="50.77"/>
    <n v="522.58911764705886"/>
    <m/>
  </r>
  <r>
    <x v="29"/>
    <x v="28"/>
    <n v="3020"/>
    <n v="80"/>
    <n v="1772.02"/>
    <n v="2000"/>
    <n v="752.02"/>
    <n v="0"/>
    <n v="3772.02"/>
    <n v="510.97"/>
    <n v="4282.99"/>
    <s v="DD"/>
    <n v="24.980264900662252"/>
    <n v="151"/>
    <n v="886.79940397350992"/>
    <n v="141.88999999999999"/>
    <n v="1551.8989569536425"/>
    <m/>
  </r>
  <r>
    <x v="30"/>
    <x v="28"/>
    <n v="2130"/>
    <n v="80"/>
    <n v="358.91"/>
    <n v="2000"/>
    <n v="228.91"/>
    <n v="0"/>
    <n v="2358.91"/>
    <n v="379.67"/>
    <n v="2738.58"/>
    <s v="DD"/>
    <n v="22.149389671361501"/>
    <n v="106.5"/>
    <n v="293.47941314553987"/>
    <n v="46.96"/>
    <n v="513.58897300469471"/>
    <m/>
  </r>
  <r>
    <x v="51"/>
    <x v="28"/>
    <m/>
    <n v="91"/>
    <m/>
    <m/>
    <m/>
    <m/>
    <m/>
    <m/>
    <m/>
    <m/>
    <n v="33.200000000000003"/>
    <n v="91"/>
    <n v="3203.8"/>
    <n v="512.61"/>
    <n v="5606.6500000000005"/>
    <m/>
  </r>
  <r>
    <x v="66"/>
    <x v="28"/>
    <m/>
    <n v="124"/>
    <m/>
    <m/>
    <m/>
    <m/>
    <m/>
    <m/>
    <m/>
    <m/>
    <n v="33.200000000000003"/>
    <n v="124"/>
    <n v="4847.2000000000007"/>
    <n v="727.08"/>
    <n v="8482.6000000000022"/>
    <m/>
  </r>
  <r>
    <x v="67"/>
    <x v="28"/>
    <m/>
    <n v="123"/>
    <m/>
    <m/>
    <m/>
    <m/>
    <m/>
    <m/>
    <m/>
    <m/>
    <n v="33.200000000000003"/>
    <n v="123"/>
    <n v="4797.3999999999996"/>
    <n v="719.61"/>
    <n v="8395.4499999999989"/>
    <m/>
  </r>
  <r>
    <x v="52"/>
    <x v="28"/>
    <m/>
    <n v="137"/>
    <m/>
    <m/>
    <m/>
    <m/>
    <m/>
    <m/>
    <m/>
    <m/>
    <n v="33.200000000000003"/>
    <n v="137"/>
    <n v="5494.6"/>
    <n v="769.24"/>
    <n v="9615.5500000000011"/>
    <m/>
  </r>
  <r>
    <x v="25"/>
    <x v="28"/>
    <m/>
    <n v="107.5"/>
    <m/>
    <m/>
    <m/>
    <m/>
    <m/>
    <m/>
    <m/>
    <m/>
    <n v="33.200000000000003"/>
    <n v="107.5"/>
    <n v="4025.5"/>
    <n v="563.57000000000005"/>
    <n v="7044.625"/>
    <m/>
  </r>
  <r>
    <x v="53"/>
    <x v="28"/>
    <m/>
    <n v="112"/>
    <m/>
    <m/>
    <m/>
    <m/>
    <m/>
    <m/>
    <m/>
    <m/>
    <n v="33.200000000000003"/>
    <n v="112"/>
    <n v="4249.6000000000004"/>
    <n v="552.45000000000005"/>
    <n v="7436.8000000000011"/>
    <m/>
  </r>
  <r>
    <x v="16"/>
    <x v="29"/>
    <n v="2020"/>
    <n v="80"/>
    <n v="219.48"/>
    <n v="2020"/>
    <n v="219.48"/>
    <n v="0"/>
    <n v="2239.48"/>
    <n v="385.84"/>
    <n v="2625.32"/>
    <n v="100151"/>
    <e v="#DIV/0!"/>
    <m/>
    <e v="#DIV/0!"/>
    <e v="#VALUE!"/>
    <e v="#DIV/0!"/>
    <n v="409.55"/>
  </r>
  <r>
    <x v="16"/>
    <x v="29"/>
    <n v="1340"/>
    <n v="80"/>
    <n v="198.89"/>
    <n v="1780"/>
    <n v="198.89"/>
    <n v="440"/>
    <n v="1978.89"/>
    <n v="359.62"/>
    <n v="2338.5100000000002"/>
    <n v="100161"/>
    <e v="#DIV/0!"/>
    <m/>
    <e v="#DIV/0!"/>
    <e v="#VALUE!"/>
    <e v="#DIV/0!"/>
    <m/>
  </r>
  <r>
    <x v="16"/>
    <x v="29"/>
    <n v="1795"/>
    <n v="80"/>
    <n v="433.13"/>
    <n v="1870"/>
    <n v="433.13"/>
    <n v="75"/>
    <n v="2303.13"/>
    <n v="392.22"/>
    <n v="2695.35"/>
    <n v="100165"/>
    <e v="#DIV/0!"/>
    <m/>
    <e v="#DIV/0!"/>
    <e v="#VALUE!"/>
    <e v="#DIV/0!"/>
    <m/>
  </r>
  <r>
    <x v="16"/>
    <x v="29"/>
    <n v="1320"/>
    <n v="80"/>
    <n v="386.59"/>
    <n v="1760"/>
    <n v="386.59"/>
    <n v="440"/>
    <n v="2146.59"/>
    <n v="366.49"/>
    <n v="2513.08"/>
    <n v="100170"/>
    <e v="#DIV/0!"/>
    <m/>
    <e v="#DIV/0!"/>
    <e v="#VALUE!"/>
    <e v="#DIV/0!"/>
    <m/>
  </r>
  <r>
    <x v="16"/>
    <x v="29"/>
    <n v="1449"/>
    <n v="69"/>
    <n v="299"/>
    <n v="1452"/>
    <n v="302"/>
    <n v="0"/>
    <n v="1751"/>
    <n v="301.13"/>
    <n v="2052.13"/>
    <n v="100177"/>
    <e v="#DIV/0!"/>
    <m/>
    <e v="#DIV/0!"/>
    <e v="#VALUE!"/>
    <e v="#DIV/0!"/>
    <m/>
  </r>
  <r>
    <x v="29"/>
    <x v="29"/>
    <n v="1500"/>
    <n v="65"/>
    <n v="318.64999999999998"/>
    <n v="1500"/>
    <n v="318.64999999999998"/>
    <n v="0"/>
    <n v="1818.65"/>
    <n v="319.45"/>
    <n v="2138.1"/>
    <n v="100178"/>
    <n v="24.248666666666669"/>
    <n v="75"/>
    <n v="303.10833333333335"/>
    <n v="48.5"/>
    <n v="530.4395833333333"/>
    <n v="546.07000000000005"/>
  </r>
  <r>
    <x v="86"/>
    <x v="30"/>
    <m/>
    <n v="94"/>
    <m/>
    <m/>
    <m/>
    <m/>
    <m/>
    <m/>
    <m/>
    <m/>
    <n v="26.26"/>
    <n v="93"/>
    <n v="2612.8700000000003"/>
    <n v="496.45"/>
    <n v="4572.5225000000009"/>
    <n v="546.07000000000005"/>
  </r>
  <r>
    <x v="85"/>
    <x v="31"/>
    <m/>
    <n v="101"/>
    <m/>
    <m/>
    <m/>
    <m/>
    <m/>
    <m/>
    <m/>
    <m/>
    <n v="19.8"/>
    <n v="101"/>
    <n v="2207.6999999999998"/>
    <n v="463.62"/>
    <n v="3863.4749999999995"/>
    <n v="546.07000000000005"/>
  </r>
  <r>
    <x v="87"/>
    <x v="31"/>
    <m/>
    <n v="89"/>
    <m/>
    <m/>
    <m/>
    <m/>
    <m/>
    <m/>
    <m/>
    <m/>
    <n v="19.8"/>
    <n v="89"/>
    <n v="1851.3"/>
    <n v="370.26"/>
    <n v="3239.7750000000001"/>
    <m/>
  </r>
  <r>
    <x v="88"/>
    <x v="31"/>
    <m/>
    <n v="93.5"/>
    <m/>
    <m/>
    <m/>
    <m/>
    <m/>
    <m/>
    <m/>
    <m/>
    <n v="19.8"/>
    <n v="93.5"/>
    <n v="1984.95"/>
    <n v="396.99"/>
    <n v="3473.6624999999999"/>
    <m/>
  </r>
  <r>
    <x v="42"/>
    <x v="31"/>
    <n v="664"/>
    <n v="58"/>
    <n v="135.72"/>
    <n v="1044"/>
    <n v="135.72"/>
    <n v="380"/>
    <n v="1179.72"/>
    <n v="277.22000000000003"/>
    <n v="1456.94"/>
    <s v="DD"/>
    <n v="20.34"/>
    <n v="58"/>
    <n v="0"/>
    <n v="0"/>
    <n v="0"/>
    <m/>
  </r>
  <r>
    <x v="43"/>
    <x v="31"/>
    <n v="1621"/>
    <n v="80"/>
    <n v="229.63"/>
    <n v="1791"/>
    <n v="229.63"/>
    <n v="170"/>
    <n v="2020.63"/>
    <n v="360.38"/>
    <n v="2381.0100000000002"/>
    <s v="DD"/>
    <n v="21.611016042780751"/>
    <n v="93.5"/>
    <n v="145.87435828877005"/>
    <n v="14.59"/>
    <n v="255.28012700534759"/>
    <m/>
  </r>
  <r>
    <x v="44"/>
    <x v="31"/>
    <n v="2593"/>
    <n v="50"/>
    <n v="411.62"/>
    <n v="1593"/>
    <n v="411.62"/>
    <n v="0"/>
    <n v="3004.62"/>
    <n v="457.7"/>
    <n v="3462.32"/>
    <s v="DD"/>
    <n v="22.651073446327683"/>
    <n v="88.5"/>
    <n v="113.25536723163842"/>
    <n v="11.33"/>
    <n v="198.19689265536724"/>
    <m/>
  </r>
  <r>
    <x v="45"/>
    <x v="31"/>
    <n v="1502"/>
    <n v="51.5"/>
    <m/>
    <n v="1602"/>
    <n v="169.09"/>
    <n v="100"/>
    <n v="1771.09"/>
    <n v="318.98"/>
    <n v="2090.0700000000002"/>
    <s v="DD"/>
    <n v="18"/>
    <n v="89"/>
    <n v="103.5"/>
    <n v="9.32"/>
    <n v="181.125"/>
    <m/>
  </r>
  <r>
    <x v="46"/>
    <x v="31"/>
    <n v="1777"/>
    <n v="80"/>
    <m/>
    <n v="1827"/>
    <n v="191.49"/>
    <n v="50"/>
    <n v="2018.49"/>
    <n v="341.22"/>
    <n v="2359.71"/>
    <s v="DD"/>
    <n v="18"/>
    <n v="101.5"/>
    <n v="193.5"/>
    <n v="17.420000000000002"/>
    <n v="338.625"/>
    <m/>
  </r>
  <r>
    <x v="47"/>
    <x v="31"/>
    <n v="1476"/>
    <n v="43"/>
    <m/>
    <n v="1476"/>
    <n v="159.13999999999999"/>
    <n v="0"/>
    <n v="1635.14"/>
    <n v="301.08"/>
    <n v="1936.22"/>
    <n v="100194"/>
    <n v="18.222222222222221"/>
    <n v="81"/>
    <n v="27.333333333333332"/>
    <n v="2.19"/>
    <n v="47.833333333333329"/>
    <m/>
  </r>
  <r>
    <x v="63"/>
    <x v="32"/>
    <m/>
    <n v="65"/>
    <m/>
    <m/>
    <m/>
    <m/>
    <m/>
    <m/>
    <m/>
    <m/>
    <n v="26.26"/>
    <n v="65"/>
    <n v="1798.8100000000002"/>
    <n v="305.8"/>
    <n v="3147.9175000000005"/>
    <n v="546.07000000000005"/>
  </r>
  <r>
    <x v="89"/>
    <x v="33"/>
    <m/>
    <n v="66.5"/>
    <m/>
    <m/>
    <m/>
    <m/>
    <m/>
    <m/>
    <m/>
    <m/>
    <n v="26.26"/>
    <n v="66.5"/>
    <n v="1910.4150000000002"/>
    <n v="171.94"/>
    <n v="3343.2262500000002"/>
    <n v="546.07000000000005"/>
  </r>
  <r>
    <x v="69"/>
    <x v="33"/>
    <m/>
    <n v="97"/>
    <m/>
    <m/>
    <m/>
    <m/>
    <m/>
    <m/>
    <m/>
    <m/>
    <n v="26.26"/>
    <n v="97"/>
    <n v="2770.4300000000003"/>
    <n v="249.34"/>
    <n v="4848.2525000000005"/>
    <m/>
  </r>
  <r>
    <x v="70"/>
    <x v="33"/>
    <m/>
    <n v="102.5"/>
    <m/>
    <m/>
    <m/>
    <m/>
    <m/>
    <m/>
    <m/>
    <m/>
    <n v="26.26"/>
    <n v="102.5"/>
    <n v="2987.0750000000003"/>
    <n v="238.97"/>
    <n v="5227.3812500000004"/>
    <m/>
  </r>
  <r>
    <x v="71"/>
    <x v="33"/>
    <m/>
    <n v="81"/>
    <m/>
    <m/>
    <m/>
    <m/>
    <m/>
    <m/>
    <m/>
    <m/>
    <n v="26.26"/>
    <n v="81"/>
    <n v="2166.4500000000003"/>
    <n v="173.32"/>
    <n v="3791.2875000000004"/>
    <m/>
  </r>
  <r>
    <x v="73"/>
    <x v="33"/>
    <m/>
    <n v="79"/>
    <m/>
    <m/>
    <m/>
    <m/>
    <m/>
    <m/>
    <m/>
    <m/>
    <n v="26.26"/>
    <n v="79"/>
    <n v="2074.54"/>
    <n v="145.22"/>
    <n v="3630.4449999999997"/>
    <m/>
  </r>
  <r>
    <x v="80"/>
    <x v="34"/>
    <m/>
    <n v="83.5"/>
    <m/>
    <m/>
    <m/>
    <m/>
    <m/>
    <m/>
    <m/>
    <m/>
    <n v="26.26"/>
    <n v="83.5"/>
    <n v="2343.7049999999999"/>
    <n v="93.75"/>
    <n v="4101.4837499999994"/>
    <n v="546.07000000000005"/>
  </r>
  <r>
    <x v="78"/>
    <x v="34"/>
    <m/>
    <n v="106.5"/>
    <m/>
    <m/>
    <m/>
    <m/>
    <m/>
    <m/>
    <m/>
    <m/>
    <n v="26.26"/>
    <n v="106.5"/>
    <n v="3144.6350000000002"/>
    <n v="125.79"/>
    <n v="5503.1112499999999"/>
    <m/>
  </r>
  <r>
    <x v="90"/>
    <x v="35"/>
    <m/>
    <n v="24"/>
    <m/>
    <m/>
    <m/>
    <m/>
    <m/>
    <m/>
    <m/>
    <m/>
    <n v="26.26"/>
    <n v="24"/>
    <n v="630.24"/>
    <n v="44.12"/>
    <n v="1102.92"/>
    <n v="546.07000000000005"/>
  </r>
  <r>
    <x v="16"/>
    <x v="36"/>
    <n v="1824"/>
    <n v="80"/>
    <n v="181.11"/>
    <n v="1840"/>
    <n v="197.11"/>
    <n v="0"/>
    <n v="2021.11"/>
    <n v="363.87"/>
    <n v="2384.98"/>
    <s v="DD"/>
    <e v="#DIV/0!"/>
    <m/>
    <e v="#DIV/0!"/>
    <e v="#VALUE!"/>
    <e v="#DIV/0!"/>
    <n v="409.55"/>
  </r>
  <r>
    <x v="16"/>
    <x v="36"/>
    <n v="1040"/>
    <n v="74"/>
    <n v="32.76"/>
    <n v="1702"/>
    <n v="254.76"/>
    <n v="440"/>
    <n v="1734.76"/>
    <n v="323.01"/>
    <n v="2057.77"/>
    <s v="DD"/>
    <e v="#DIV/0!"/>
    <m/>
    <e v="#DIV/0!"/>
    <e v="#VALUE!"/>
    <e v="#DIV/0!"/>
    <m/>
  </r>
  <r>
    <x v="16"/>
    <x v="36"/>
    <n v="1620"/>
    <n v="80"/>
    <n v="508.61"/>
    <n v="2400"/>
    <n v="488.61"/>
    <n v="800"/>
    <n v="2908.61"/>
    <n v="453.14"/>
    <n v="3361.75"/>
    <s v="DD"/>
    <e v="#DIV/0!"/>
    <m/>
    <e v="#DIV/0!"/>
    <e v="#VALUE!"/>
    <e v="#DIV/0!"/>
    <m/>
  </r>
  <r>
    <x v="16"/>
    <x v="36"/>
    <n v="1310"/>
    <n v="80"/>
    <n v="238.67"/>
    <n v="1840"/>
    <n v="328.67"/>
    <n v="440"/>
    <n v="2078.67"/>
    <n v="369.66"/>
    <n v="2448.33"/>
    <s v="DD"/>
    <e v="#DIV/0!"/>
    <m/>
    <e v="#DIV/0!"/>
    <e v="#VALUE!"/>
    <e v="#DIV/0!"/>
    <m/>
  </r>
  <r>
    <x v="16"/>
    <x v="36"/>
    <n v="1151.3"/>
    <n v="80"/>
    <n v="490"/>
    <n v="1840"/>
    <n v="378.7"/>
    <n v="800"/>
    <n v="2330"/>
    <n v="394.95"/>
    <n v="2724.95"/>
    <s v="DD"/>
    <e v="#DIV/0!"/>
    <m/>
    <e v="#DIV/0!"/>
    <e v="#VALUE!"/>
    <e v="#DIV/0!"/>
    <m/>
  </r>
  <r>
    <x v="16"/>
    <x v="36"/>
    <n v="378.7"/>
    <n v="0"/>
    <n v="378.7"/>
    <m/>
    <n v="32.49"/>
    <n v="0"/>
    <n v="411.19"/>
    <n v="41.36"/>
    <n v="452.55"/>
    <s v="DD"/>
    <e v="#DIV/0!"/>
    <m/>
    <e v="#DIV/0!"/>
    <e v="#VALUE!"/>
    <e v="#DIV/0!"/>
    <m/>
  </r>
  <r>
    <x v="16"/>
    <x v="36"/>
    <n v="1658"/>
    <n v="80"/>
    <n v="1075.1600000000001"/>
    <n v="1840"/>
    <n v="495.16"/>
    <n v="762"/>
    <n v="2915.16"/>
    <n v="449.39"/>
    <n v="3364.55"/>
    <s v="DD"/>
    <e v="#DIV/0!"/>
    <m/>
    <e v="#DIV/0!"/>
    <e v="#VALUE!"/>
    <e v="#DIV/0!"/>
    <m/>
  </r>
  <r>
    <x v="16"/>
    <x v="36"/>
    <n v="1440"/>
    <n v="72"/>
    <n v="165.1"/>
    <n v="1440"/>
    <n v="165.1"/>
    <n v="0"/>
    <n v="1605.1"/>
    <n v="296.32"/>
    <n v="1901.42"/>
    <s v="DD"/>
    <e v="#DIV/0!"/>
    <m/>
    <e v="#DIV/0!"/>
    <e v="#VALUE!"/>
    <e v="#DIV/0!"/>
    <m/>
  </r>
  <r>
    <x v="17"/>
    <x v="37"/>
    <n v="620"/>
    <n v="36.5"/>
    <n v="74.260000000000005"/>
    <n v="620"/>
    <n v="74.260000000000005"/>
    <n v="0"/>
    <n v="694.26"/>
    <n v="143.09"/>
    <n v="837.35"/>
    <n v="100147"/>
    <n v="19.02082191780822"/>
    <n v="36.5"/>
    <n v="0"/>
    <n v="0"/>
    <n v="0"/>
    <n v="546.07000000000005"/>
  </r>
  <r>
    <x v="18"/>
    <x v="37"/>
    <n v="1555"/>
    <n v="80"/>
    <n v="179.58"/>
    <n v="1555"/>
    <n v="179.58"/>
    <n v="0"/>
    <n v="1734.58"/>
    <n v="335.04"/>
    <n v="2069.62"/>
    <n v="100155"/>
    <n v="17.432964824120603"/>
    <n v="99.5"/>
    <n v="169.97140703517587"/>
    <n v="35.69"/>
    <n v="297.44996231155778"/>
    <m/>
  </r>
  <r>
    <x v="26"/>
    <x v="37"/>
    <n v="1490"/>
    <n v="80"/>
    <n v="177.43"/>
    <n v="1530"/>
    <n v="177.43"/>
    <n v="40"/>
    <n v="1707.43"/>
    <n v="332.31"/>
    <n v="2039.74"/>
    <n v="100158"/>
    <n v="18.971444444444444"/>
    <n v="90"/>
    <n v="94.857222222222219"/>
    <n v="18.97"/>
    <n v="166.0001388888889"/>
    <m/>
  </r>
  <r>
    <x v="20"/>
    <x v="37"/>
    <n v="1389"/>
    <n v="80"/>
    <n v="312.86"/>
    <n v="1589"/>
    <n v="312.86"/>
    <n v="200"/>
    <n v="1901.86"/>
    <n v="351.85"/>
    <n v="2253.71"/>
    <n v="100164"/>
    <n v="20.340748663101607"/>
    <n v="93.5"/>
    <n v="137.30005347593584"/>
    <n v="27.46"/>
    <n v="240.27509358288773"/>
    <m/>
  </r>
  <r>
    <x v="21"/>
    <x v="37"/>
    <n v="629"/>
    <n v="37"/>
    <m/>
    <n v="704.32"/>
    <n v="75.319999999999993"/>
    <n v="0"/>
    <n v="704.32"/>
    <n v="145.11000000000001"/>
    <n v="849.43"/>
    <n v="100169"/>
    <n v="19.035675675675677"/>
    <n v="37"/>
    <n v="0"/>
    <n v="0"/>
    <n v="0"/>
    <m/>
  </r>
  <r>
    <x v="23"/>
    <x v="37"/>
    <n v="1584"/>
    <n v="80"/>
    <n v="311.62"/>
    <n v="1584"/>
    <n v="311.62"/>
    <n v="0"/>
    <n v="1895.62"/>
    <n v="338.19"/>
    <n v="2233.81"/>
    <s v="DD"/>
    <n v="21.541136363636362"/>
    <n v="88"/>
    <n v="86.164545454545447"/>
    <n v="15.51"/>
    <n v="150.78795454545454"/>
    <m/>
  </r>
  <r>
    <x v="24"/>
    <x v="37"/>
    <n v="1656"/>
    <n v="80"/>
    <n v="329.51"/>
    <n v="1656"/>
    <n v="329.51"/>
    <n v="0"/>
    <n v="1985.51"/>
    <n v="344.99"/>
    <n v="2330.5"/>
    <s v="DD"/>
    <n v="21.581630434782607"/>
    <n v="92"/>
    <n v="129.48978260869563"/>
    <n v="23.31"/>
    <n v="226.60711956521737"/>
    <m/>
  </r>
  <r>
    <x v="27"/>
    <x v="37"/>
    <n v="1863"/>
    <n v="80"/>
    <n v="381"/>
    <n v="1862"/>
    <n v="380.96"/>
    <n v="0"/>
    <n v="2243.96"/>
    <n v="369.02"/>
    <n v="2612.98"/>
    <s v="DD"/>
    <n v="21.671497584541061"/>
    <n v="103.5"/>
    <n v="254.64009661835746"/>
    <n v="43.29"/>
    <n v="445.62016908212559"/>
    <m/>
  </r>
  <r>
    <x v="28"/>
    <x v="37"/>
    <n v="1611"/>
    <n v="80"/>
    <n v="300.33"/>
    <n v="1629"/>
    <n v="318.33"/>
    <n v="0"/>
    <n v="1929.33"/>
    <n v="339.77"/>
    <n v="2269.1"/>
    <s v="DD"/>
    <n v="21.55675977653631"/>
    <n v="89.5"/>
    <n v="102.39460893854748"/>
    <n v="17.41"/>
    <n v="179.1905656424581"/>
    <m/>
  </r>
  <r>
    <x v="29"/>
    <x v="37"/>
    <n v="1836"/>
    <n v="80"/>
    <n v="300"/>
    <n v="1775.44"/>
    <n v="239.44"/>
    <n v="0"/>
    <n v="2075.44"/>
    <n v="353.35"/>
    <n v="2428.79"/>
    <s v="DD"/>
    <n v="19.672417061611373"/>
    <n v="105.5"/>
    <n v="250.82331753554502"/>
    <n v="40.130000000000003"/>
    <n v="438.94080568720381"/>
    <m/>
  </r>
  <r>
    <x v="30"/>
    <x v="37"/>
    <n v="1615"/>
    <n v="80"/>
    <n v="191.25"/>
    <n v="1615"/>
    <n v="191.25"/>
    <n v="0"/>
    <n v="1806.25"/>
    <n v="328.34"/>
    <n v="2134.59"/>
    <s v="DD"/>
    <n v="21.25"/>
    <n v="85"/>
    <n v="53.125"/>
    <n v="8.5"/>
    <n v="92.96875"/>
    <m/>
  </r>
  <r>
    <x v="31"/>
    <x v="37"/>
    <n v="1458"/>
    <n v="49"/>
    <n v="171.24"/>
    <n v="1458"/>
    <n v="171.24"/>
    <n v="0"/>
    <n v="1629.24"/>
    <n v="311.89"/>
    <n v="1941.13"/>
    <s v="DD"/>
    <n v="20.114074074074075"/>
    <n v="81"/>
    <n v="90.513333333333335"/>
    <n v="13.58"/>
    <n v="158.39833333333334"/>
    <m/>
  </r>
  <r>
    <x v="32"/>
    <x v="37"/>
    <n v="1809"/>
    <n v="80"/>
    <n v="233.55"/>
    <n v="1809"/>
    <n v="233.56"/>
    <n v="-0.01"/>
    <n v="2042.55"/>
    <n v="350.3"/>
    <n v="2392.85"/>
    <s v="DD"/>
    <n v="20.323880597014924"/>
    <n v="100.5"/>
    <n v="208.31977611940297"/>
    <n v="31.25"/>
    <n v="364.55960820895518"/>
    <m/>
  </r>
  <r>
    <x v="33"/>
    <x v="37"/>
    <n v="1948"/>
    <n v="80"/>
    <n v="263.87"/>
    <n v="1948"/>
    <n v="263.87"/>
    <n v="0"/>
    <n v="2211.87"/>
    <n v="366.03"/>
    <n v="2577.9"/>
    <s v="DD"/>
    <n v="22.80278350515464"/>
    <n v="97"/>
    <n v="193.82365979381444"/>
    <n v="29.07"/>
    <n v="339.19140463917529"/>
    <m/>
  </r>
  <r>
    <x v="34"/>
    <x v="37"/>
    <n v="2126"/>
    <n v="80"/>
    <n v="309.23"/>
    <n v="2156"/>
    <n v="309.23"/>
    <n v="30"/>
    <n v="2465.23"/>
    <n v="389.55"/>
    <n v="2854.78"/>
    <s v="DD"/>
    <n v="21.720088105726873"/>
    <n v="113.5"/>
    <n v="363.81147577092514"/>
    <n v="50.93"/>
    <n v="636.67008259911904"/>
    <m/>
  </r>
  <r>
    <x v="35"/>
    <x v="37"/>
    <n v="1653"/>
    <n v="59"/>
    <n v="199.54"/>
    <n v="1653"/>
    <n v="199.54"/>
    <n v="0"/>
    <n v="1852.54"/>
    <n v="332.64"/>
    <n v="2185.1799999999998"/>
    <s v="DD"/>
    <n v="19.098350515463917"/>
    <n v="97"/>
    <n v="181.4343298969072"/>
    <n v="25.4"/>
    <n v="317.51007731958759"/>
    <m/>
  </r>
  <r>
    <x v="16"/>
    <x v="38"/>
    <n v="1438"/>
    <n v="80"/>
    <m/>
    <m/>
    <n v="186.7"/>
    <n v="200"/>
    <n v="1824.7"/>
    <n v="344.1"/>
    <n v="2168.8000000000002"/>
    <n v="100149"/>
    <e v="#DIV/0!"/>
    <m/>
    <e v="#DIV/0!"/>
    <e v="#VALUE!"/>
    <e v="#DIV/0!"/>
    <n v="409.55"/>
  </r>
  <r>
    <x v="16"/>
    <x v="38"/>
    <n v="1252"/>
    <n v="80"/>
    <m/>
    <m/>
    <n v="191.34"/>
    <n v="440"/>
    <n v="1883.34"/>
    <n v="350.01"/>
    <n v="2233.35"/>
    <n v="100157"/>
    <e v="#DIV/0!"/>
    <m/>
    <e v="#DIV/0!"/>
    <e v="#VALUE!"/>
    <e v="#DIV/0!"/>
    <m/>
  </r>
  <r>
    <x v="16"/>
    <x v="38"/>
    <n v="1313"/>
    <n v="80"/>
    <m/>
    <m/>
    <n v="503.88"/>
    <n v="604"/>
    <n v="2420.88"/>
    <n v="404.07"/>
    <n v="2824.95"/>
    <s v="DD"/>
    <e v="#DIV/0!"/>
    <m/>
    <e v="#DIV/0!"/>
    <e v="#VALUE!"/>
    <e v="#DIV/0!"/>
    <m/>
  </r>
  <r>
    <x v="16"/>
    <x v="38"/>
    <n v="100"/>
    <n v="5.5"/>
    <m/>
    <m/>
    <n v="11.75"/>
    <n v="0"/>
    <n v="111.75"/>
    <n v="22.28"/>
    <n v="134.03"/>
    <s v="DD"/>
    <e v="#DIV/0!"/>
    <m/>
    <e v="#DIV/0!"/>
    <e v="#VALUE!"/>
    <e v="#DIV/0!"/>
    <m/>
  </r>
  <r>
    <x v="11"/>
    <x v="39"/>
    <m/>
    <n v="47"/>
    <m/>
    <m/>
    <m/>
    <m/>
    <m/>
    <m/>
    <m/>
    <m/>
    <n v="26.26"/>
    <n v="47"/>
    <n v="1326.13"/>
    <n v="318.27"/>
    <n v="2320.7275"/>
    <n v="546.07000000000005"/>
  </r>
  <r>
    <x v="36"/>
    <x v="39"/>
    <m/>
    <n v="130"/>
    <m/>
    <m/>
    <m/>
    <m/>
    <m/>
    <m/>
    <m/>
    <m/>
    <n v="26.26"/>
    <n v="130"/>
    <n v="4070.3"/>
    <n v="976.87"/>
    <n v="7123.0250000000005"/>
    <m/>
  </r>
  <r>
    <x v="91"/>
    <x v="39"/>
    <m/>
    <n v="77.5"/>
    <m/>
    <m/>
    <m/>
    <m/>
    <m/>
    <m/>
    <m/>
    <m/>
    <n v="26.26"/>
    <n v="77.5"/>
    <n v="2212.4050000000002"/>
    <n v="508.85"/>
    <n v="3871.7087500000002"/>
    <m/>
  </r>
  <r>
    <x v="92"/>
    <x v="39"/>
    <m/>
    <n v="122"/>
    <m/>
    <m/>
    <m/>
    <m/>
    <m/>
    <m/>
    <m/>
    <m/>
    <n v="26.26"/>
    <n v="122"/>
    <n v="3755.1800000000003"/>
    <n v="863.69"/>
    <n v="6571.5650000000005"/>
    <m/>
  </r>
  <r>
    <x v="83"/>
    <x v="39"/>
    <m/>
    <n v="94.5"/>
    <m/>
    <m/>
    <m/>
    <m/>
    <m/>
    <m/>
    <m/>
    <m/>
    <n v="26.26"/>
    <n v="94.5"/>
    <n v="2671.9549999999999"/>
    <n v="587.83000000000004"/>
    <n v="4675.9212499999994"/>
    <m/>
  </r>
  <r>
    <x v="93"/>
    <x v="40"/>
    <m/>
    <n v="12"/>
    <m/>
    <m/>
    <m/>
    <m/>
    <m/>
    <m/>
    <m/>
    <m/>
    <n v="26.26"/>
    <n v="12"/>
    <n v="315.12"/>
    <n v="34.659999999999997"/>
    <n v="551.46"/>
    <n v="546.07000000000005"/>
  </r>
  <r>
    <x v="94"/>
    <x v="40"/>
    <m/>
    <n v="82"/>
    <m/>
    <m/>
    <m/>
    <m/>
    <m/>
    <m/>
    <m/>
    <m/>
    <n v="26.26"/>
    <n v="82"/>
    <n v="2343.7049999999999"/>
    <n v="257.81"/>
    <n v="4101.4837499999994"/>
    <m/>
  </r>
  <r>
    <x v="95"/>
    <x v="40"/>
    <m/>
    <n v="88.5"/>
    <m/>
    <m/>
    <m/>
    <m/>
    <m/>
    <m/>
    <m/>
    <m/>
    <n v="26.26"/>
    <n v="88.5"/>
    <n v="2435.6150000000002"/>
    <n v="267.92"/>
    <n v="4262.3262500000001"/>
    <m/>
  </r>
  <r>
    <x v="96"/>
    <x v="40"/>
    <m/>
    <n v="67.5"/>
    <m/>
    <m/>
    <m/>
    <m/>
    <m/>
    <m/>
    <m/>
    <m/>
    <n v="26.26"/>
    <n v="67.5"/>
    <n v="1825.07"/>
    <n v="182.51"/>
    <n v="3193.8724999999999"/>
    <m/>
  </r>
  <r>
    <x v="97"/>
    <x v="40"/>
    <m/>
    <n v="79.5"/>
    <m/>
    <m/>
    <m/>
    <m/>
    <m/>
    <m/>
    <m/>
    <m/>
    <n v="26.26"/>
    <n v="79.5"/>
    <n v="2153.3200000000002"/>
    <n v="215.33"/>
    <n v="3768.3100000000004"/>
    <m/>
  </r>
  <r>
    <x v="98"/>
    <x v="40"/>
    <m/>
    <n v="62"/>
    <m/>
    <m/>
    <m/>
    <m/>
    <m/>
    <m/>
    <m/>
    <m/>
    <n v="26.26"/>
    <n v="62"/>
    <n v="1700.335"/>
    <n v="357.07"/>
    <n v="2975.5862500000003"/>
    <m/>
  </r>
  <r>
    <x v="69"/>
    <x v="40"/>
    <m/>
    <n v="97"/>
    <m/>
    <m/>
    <m/>
    <m/>
    <m/>
    <m/>
    <m/>
    <m/>
    <n v="26.26"/>
    <n v="97"/>
    <n v="2809.82"/>
    <n v="252.88"/>
    <n v="4917.1850000000004"/>
    <m/>
  </r>
  <r>
    <x v="70"/>
    <x v="40"/>
    <m/>
    <n v="102.5"/>
    <m/>
    <m/>
    <m/>
    <m/>
    <m/>
    <m/>
    <m/>
    <m/>
    <n v="26.26"/>
    <n v="102.5"/>
    <n v="2987.0750000000003"/>
    <n v="238.97"/>
    <n v="5227.3812500000004"/>
    <m/>
  </r>
  <r>
    <x v="13"/>
    <x v="41"/>
    <n v="720"/>
    <n v="40"/>
    <n v="104.69"/>
    <n v="720"/>
    <n v="104.69"/>
    <n v="0"/>
    <n v="824.69"/>
    <n v="163.22999999999999"/>
    <n v="987.92"/>
    <n v="100109"/>
    <n v="20.617250000000002"/>
    <n v="40"/>
    <n v="0"/>
    <n v="0"/>
    <n v="0"/>
    <n v="546.07000000000005"/>
  </r>
  <r>
    <x v="14"/>
    <x v="41"/>
    <n v="1328"/>
    <n v="80"/>
    <n v="341.59"/>
    <n v="1760"/>
    <n v="373.59"/>
    <n v="400"/>
    <n v="2101.59"/>
    <n v="371.96"/>
    <n v="2473.5500000000002"/>
    <n v="100117"/>
    <n v="21.891562500000003"/>
    <n v="96"/>
    <n v="175.13250000000002"/>
    <n v="38.53"/>
    <n v="306.48187500000006"/>
    <m/>
  </r>
  <r>
    <x v="15"/>
    <x v="41"/>
    <n v="1144"/>
    <n v="51"/>
    <n v="374.48"/>
    <n v="1440"/>
    <n v="320.48"/>
    <n v="350"/>
    <n v="1814.48"/>
    <n v="343.08"/>
    <n v="2157.56"/>
    <n v="100123"/>
    <n v="21.861204819277109"/>
    <n v="83"/>
    <n v="120.23662650602409"/>
    <n v="26.45"/>
    <n v="210.41409638554217"/>
    <m/>
  </r>
  <r>
    <x v="16"/>
    <x v="41"/>
    <n v="1136"/>
    <n v="80"/>
    <n v="306.51"/>
    <n v="1440"/>
    <n v="180.51"/>
    <n v="430"/>
    <n v="1746.51"/>
    <n v="336.23"/>
    <n v="2082.7399999999998"/>
    <n v="100132"/>
    <e v="#DIV/0!"/>
    <m/>
    <e v="#DIV/0!"/>
    <e v="#VALUE!"/>
    <e v="#DIV/0!"/>
    <m/>
  </r>
  <r>
    <x v="17"/>
    <x v="41"/>
    <n v="1648"/>
    <n v="80"/>
    <n v="566.75"/>
    <n v="1440"/>
    <n v="358.75"/>
    <n v="0"/>
    <n v="2006.75"/>
    <n v="362.42"/>
    <n v="2369.17"/>
    <n v="100141"/>
    <n v="19.868811881188119"/>
    <n v="101"/>
    <n v="208.62252475247524"/>
    <n v="43.81"/>
    <n v="365.08941831683165"/>
    <m/>
  </r>
  <r>
    <x v="16"/>
    <x v="41"/>
    <n v="1911"/>
    <n v="80"/>
    <n v="210.13"/>
    <n v="1911"/>
    <n v="210.13"/>
    <n v="0"/>
    <n v="2121.13"/>
    <n v="369.79"/>
    <n v="2490.92"/>
    <s v="DD"/>
    <e v="#DIV/0!"/>
    <m/>
    <e v="#DIV/0!"/>
    <e v="#VALUE!"/>
    <e v="#DIV/0!"/>
    <m/>
  </r>
  <r>
    <x v="16"/>
    <x v="41"/>
    <n v="1687"/>
    <n v="0"/>
    <n v="1687"/>
    <m/>
    <n v="315.38"/>
    <n v="0"/>
    <n v="2002.38"/>
    <n v="189.42"/>
    <n v="2191.8000000000002"/>
    <s v="DD"/>
    <e v="#DIV/0!"/>
    <m/>
    <e v="#DIV/0!"/>
    <e v="#VALUE!"/>
    <e v="#DIV/0!"/>
    <m/>
  </r>
  <r>
    <x v="16"/>
    <x v="41"/>
    <n v="2236"/>
    <n v="80"/>
    <n v="1385.3"/>
    <n v="1440"/>
    <n v="589.29999999999995"/>
    <n v="0"/>
    <n v="2825.3"/>
    <n v="427.83"/>
    <n v="3253.13"/>
    <s v="DD"/>
    <e v="#DIV/0!"/>
    <m/>
    <e v="#DIV/0!"/>
    <e v="#VALUE!"/>
    <e v="#DIV/0!"/>
    <m/>
  </r>
  <r>
    <x v="21"/>
    <x v="41"/>
    <n v="1288"/>
    <n v="28"/>
    <n v="554.26"/>
    <n v="1440"/>
    <n v="356.26"/>
    <n v="350"/>
    <n v="1994.26"/>
    <n v="349.19"/>
    <n v="2343.4499999999998"/>
    <s v="DD"/>
    <n v="71.223571428571432"/>
    <n v="28"/>
    <n v="0"/>
    <n v="0"/>
    <n v="0"/>
    <m/>
  </r>
  <r>
    <x v="22"/>
    <x v="41"/>
    <n v="1808"/>
    <n v="80"/>
    <n v="831.76"/>
    <n v="1440"/>
    <n v="423.76"/>
    <n v="40"/>
    <n v="2271.7600000000002"/>
    <n v="375.44"/>
    <n v="2647.2"/>
    <s v="DD"/>
    <n v="25.815454545454546"/>
    <n v="88"/>
    <n v="103.26181818181819"/>
    <n v="19.62"/>
    <n v="180.70818181818183"/>
    <m/>
  </r>
  <r>
    <x v="23"/>
    <x v="41"/>
    <n v="1488"/>
    <n v="80"/>
    <n v="831.76"/>
    <n v="1440"/>
    <n v="423.76"/>
    <n v="360"/>
    <n v="2271.7600000000002"/>
    <n v="371.59"/>
    <n v="2643.35"/>
    <s v="DD"/>
    <n v="25.815454545454546"/>
    <n v="88"/>
    <n v="103.26181818181819"/>
    <n v="18.59"/>
    <n v="180.70818181818183"/>
    <m/>
  </r>
  <r>
    <x v="24"/>
    <x v="41"/>
    <n v="1806"/>
    <n v="36"/>
    <n v="771.84"/>
    <n v="1440"/>
    <n v="405.84"/>
    <n v="0"/>
    <n v="2211.84"/>
    <n v="366.01"/>
    <n v="2577.85"/>
    <s v="DD"/>
    <n v="61.440000000000005"/>
    <n v="36"/>
    <n v="0"/>
    <n v="0"/>
    <n v="0"/>
    <m/>
  </r>
  <r>
    <x v="16"/>
    <x v="41"/>
    <n v="1941"/>
    <n v="80"/>
    <n v="1535.08"/>
    <n v="1440"/>
    <n v="634.08000000000004"/>
    <n v="400"/>
    <n v="2975.08"/>
    <n v="436.93"/>
    <n v="3412.01"/>
    <s v="DD"/>
    <e v="#DIV/0!"/>
    <m/>
    <e v="#DIV/0!"/>
    <e v="#VALUE!"/>
    <e v="#DIV/0!"/>
    <m/>
  </r>
  <r>
    <x v="16"/>
    <x v="41"/>
    <n v="1933"/>
    <n v="80"/>
    <n v="995.81"/>
    <n v="1440"/>
    <n v="472.81"/>
    <n v="30"/>
    <n v="2435.81"/>
    <n v="386.83"/>
    <n v="2822.64"/>
    <s v="DD"/>
    <e v="#DIV/0!"/>
    <m/>
    <e v="#DIV/0!"/>
    <e v="#VALUE!"/>
    <e v="#DIV/0!"/>
    <m/>
  </r>
  <r>
    <x v="29"/>
    <x v="41"/>
    <n v="1877"/>
    <n v="51"/>
    <n v="1138.1500000000001"/>
    <n v="1440"/>
    <n v="331.15"/>
    <n v="370"/>
    <n v="2578.15"/>
    <n v="400.05"/>
    <n v="2978.2"/>
    <s v="DD"/>
    <n v="50.551960784313728"/>
    <n v="51"/>
    <n v="0"/>
    <n v="0"/>
    <n v="0"/>
    <m/>
  </r>
  <r>
    <x v="30"/>
    <x v="41"/>
    <n v="1765"/>
    <n v="80"/>
    <n v="555.16999999999996"/>
    <n v="1440"/>
    <n v="200.17"/>
    <n v="30"/>
    <n v="1995.17"/>
    <n v="345.89"/>
    <n v="2341.06"/>
    <s v="DD"/>
    <n v="23.335321637426901"/>
    <n v="85.5"/>
    <n v="64.172134502923981"/>
    <n v="10.27"/>
    <n v="112.30123538011696"/>
    <m/>
  </r>
  <r>
    <x v="16"/>
    <x v="42"/>
    <n v="2929"/>
    <n v="80"/>
    <m/>
    <m/>
    <n v="288.64"/>
    <n v="0"/>
    <n v="3217.64"/>
    <n v="484.24"/>
    <n v="3701.88"/>
    <s v="DD"/>
    <e v="#DIV/0!"/>
    <n v="0"/>
    <e v="#DIV/0!"/>
    <e v="#VALUE!"/>
    <e v="#DIV/0!"/>
    <n v="409.55"/>
  </r>
  <r>
    <x v="16"/>
    <x v="42"/>
    <n v="1890"/>
    <n v="70"/>
    <m/>
    <m/>
    <n v="423.91"/>
    <n v="0"/>
    <n v="2313.91"/>
    <n v="373.24"/>
    <n v="2687.15"/>
    <s v="DD"/>
    <e v="#DIV/0!"/>
    <m/>
    <e v="#DIV/0!"/>
    <e v="#VALUE!"/>
    <e v="#DIV/0!"/>
    <m/>
  </r>
  <r>
    <x v="16"/>
    <x v="42"/>
    <n v="3051"/>
    <n v="80"/>
    <m/>
    <m/>
    <n v="763.37"/>
    <n v="0"/>
    <n v="3814.37"/>
    <n v="530.19000000000005"/>
    <n v="4344.5600000000004"/>
    <s v="DD"/>
    <e v="#DIV/0!"/>
    <m/>
    <e v="#DIV/0!"/>
    <e v="#VALUE!"/>
    <e v="#DIV/0!"/>
    <m/>
  </r>
  <r>
    <x v="16"/>
    <x v="42"/>
    <n v="2242"/>
    <n v="47"/>
    <m/>
    <m/>
    <n v="501.65"/>
    <n v="0"/>
    <n v="2743.65"/>
    <n v="370.32"/>
    <n v="3113.97"/>
    <s v="DD"/>
    <e v="#DIV/0!"/>
    <m/>
    <e v="#DIV/0!"/>
    <e v="#VALUE!"/>
    <e v="#DIV/0!"/>
    <m/>
  </r>
  <r>
    <x v="16"/>
    <x v="42"/>
    <n v="2095"/>
    <n v="80"/>
    <m/>
    <m/>
    <n v="268.82"/>
    <n v="500"/>
    <n v="2863.82"/>
    <n v="448.63"/>
    <n v="3312.45"/>
    <n v="100135"/>
    <e v="#DIV/0!"/>
    <m/>
    <e v="#DIV/0!"/>
    <e v="#VALUE!"/>
    <e v="#DIV/0!"/>
    <m/>
  </r>
  <r>
    <x v="16"/>
    <x v="42"/>
    <n v="2980"/>
    <n v="80"/>
    <m/>
    <m/>
    <n v="948.28"/>
    <n v="500"/>
    <n v="4428.28"/>
    <n v="587.83000000000004"/>
    <n v="5016.1099999999997"/>
    <n v="100143"/>
    <e v="#DIV/0!"/>
    <m/>
    <e v="#DIV/0!"/>
    <e v="#VALUE!"/>
    <e v="#DIV/0!"/>
    <m/>
  </r>
  <r>
    <x v="16"/>
    <x v="42"/>
    <n v="2943"/>
    <n v="80"/>
    <m/>
    <m/>
    <n v="298.68"/>
    <n v="0"/>
    <n v="3241.68"/>
    <n v="467.2"/>
    <n v="3708.88"/>
    <s v="DD"/>
    <e v="#DIV/0!"/>
    <m/>
    <e v="#DIV/0!"/>
    <e v="#VALUE!"/>
    <e v="#DIV/0!"/>
    <m/>
  </r>
  <r>
    <x v="16"/>
    <x v="42"/>
    <n v="3088"/>
    <n v="80"/>
    <m/>
    <m/>
    <n v="354.04"/>
    <n v="500"/>
    <n v="3942.04"/>
    <n v="533.46"/>
    <n v="4475.5"/>
    <n v="100163"/>
    <e v="#DIV/0!"/>
    <m/>
    <e v="#DIV/0!"/>
    <e v="#VALUE!"/>
    <e v="#DIV/0!"/>
    <m/>
  </r>
  <r>
    <x v="16"/>
    <x v="42"/>
    <n v="3074"/>
    <n v="80"/>
    <m/>
    <m/>
    <n v="775.06"/>
    <n v="0"/>
    <n v="3849.06"/>
    <n v="524.66"/>
    <n v="4373.72"/>
    <s v="DD"/>
    <e v="#DIV/0!"/>
    <m/>
    <e v="#DIV/0!"/>
    <e v="#VALUE!"/>
    <e v="#DIV/0!"/>
    <m/>
  </r>
  <r>
    <x v="16"/>
    <x v="42"/>
    <n v="3080"/>
    <n v="80"/>
    <m/>
    <m/>
    <n v="777.63"/>
    <n v="0"/>
    <n v="3857.63"/>
    <n v="525.47"/>
    <n v="4383.1000000000004"/>
    <s v="DD"/>
    <e v="#DIV/0!"/>
    <m/>
    <e v="#DIV/0!"/>
    <e v="#VALUE!"/>
    <e v="#DIV/0!"/>
    <m/>
  </r>
  <r>
    <x v="16"/>
    <x v="42"/>
    <n v="3088"/>
    <n v="80"/>
    <m/>
    <m/>
    <n v="781.03"/>
    <n v="0"/>
    <n v="3869.03"/>
    <n v="526.54999999999995"/>
    <n v="4395.58"/>
    <s v="DD"/>
    <e v="#DIV/0!"/>
    <m/>
    <e v="#DIV/0!"/>
    <e v="#VALUE!"/>
    <e v="#DIV/0!"/>
    <m/>
  </r>
  <r>
    <x v="16"/>
    <x v="42"/>
    <n v="2184"/>
    <n v="80"/>
    <m/>
    <m/>
    <n v="618.45000000000005"/>
    <n v="440"/>
    <n v="3242.45"/>
    <n v="461.77"/>
    <n v="3704.22"/>
    <s v="DD"/>
    <e v="#DIV/0!"/>
    <m/>
    <e v="#DIV/0!"/>
    <e v="#VALUE!"/>
    <e v="#DIV/0!"/>
    <m/>
  </r>
  <r>
    <x v="16"/>
    <x v="42"/>
    <n v="2508"/>
    <n v="80"/>
    <m/>
    <m/>
    <n v="589.63"/>
    <n v="0"/>
    <n v="3097.63"/>
    <n v="448.31"/>
    <n v="3545.94"/>
    <s v="DD"/>
    <e v="#DIV/0!"/>
    <m/>
    <e v="#DIV/0!"/>
    <e v="#VALUE!"/>
    <e v="#DIV/0!"/>
    <m/>
  </r>
  <r>
    <x v="16"/>
    <x v="42"/>
    <n v="2054"/>
    <n v="80"/>
    <m/>
    <m/>
    <n v="586.14"/>
    <n v="440"/>
    <n v="3080.14"/>
    <n v="446.69"/>
    <n v="3526.83"/>
    <s v="DD"/>
    <e v="#DIV/0!"/>
    <m/>
    <e v="#DIV/0!"/>
    <e v="#VALUE!"/>
    <e v="#DIV/0!"/>
    <m/>
  </r>
  <r>
    <x v="16"/>
    <x v="42"/>
    <n v="2581"/>
    <n v="80"/>
    <m/>
    <m/>
    <n v="607.77"/>
    <n v="0"/>
    <n v="3188.77"/>
    <n v="456.77"/>
    <n v="3645.54"/>
    <s v="DD"/>
    <e v="#DIV/0!"/>
    <m/>
    <e v="#DIV/0!"/>
    <e v="#VALUE!"/>
    <e v="#DIV/0!"/>
    <m/>
  </r>
  <r>
    <x v="16"/>
    <x v="42"/>
    <n v="3411"/>
    <n v="80"/>
    <m/>
    <m/>
    <n v="734.69"/>
    <n v="460"/>
    <n v="4605.6899999999996"/>
    <n v="588.41"/>
    <n v="5194.1000000000004"/>
    <s v="DD"/>
    <e v="#DIV/0!"/>
    <m/>
    <e v="#DIV/0!"/>
    <e v="#VALUE!"/>
    <e v="#DIV/0!"/>
    <m/>
  </r>
  <r>
    <x v="16"/>
    <x v="42"/>
    <n v="2116"/>
    <n v="74"/>
    <m/>
    <m/>
    <n v="226.84"/>
    <n v="30"/>
    <n v="2372.84"/>
    <n v="368.94"/>
    <n v="2741.78"/>
    <s v="DD"/>
    <e v="#DIV/0!"/>
    <m/>
    <e v="#DIV/0!"/>
    <e v="#VALUE!"/>
    <e v="#DIV/0!"/>
    <m/>
  </r>
  <r>
    <x v="16"/>
    <x v="42"/>
    <n v="1921"/>
    <n v="68"/>
    <m/>
    <m/>
    <n v="264.38"/>
    <n v="65"/>
    <n v="2250.38"/>
    <n v="331.85"/>
    <n v="2582.23"/>
    <s v="DD"/>
    <e v="#DIV/0!"/>
    <m/>
    <e v="#DIV/0!"/>
    <e v="#VALUE!"/>
    <e v="#DIV/0!"/>
    <m/>
  </r>
  <r>
    <x v="16"/>
    <x v="42"/>
    <n v="2584"/>
    <n v="80"/>
    <m/>
    <m/>
    <n v="536.64"/>
    <n v="489.92"/>
    <n v="3610.56"/>
    <n v="436.75"/>
    <n v="4047.31"/>
    <s v="DD"/>
    <e v="#DIV/0!"/>
    <m/>
    <e v="#DIV/0!"/>
    <e v="#VALUE!"/>
    <e v="#DIV/0!"/>
    <m/>
  </r>
  <r>
    <x v="16"/>
    <x v="42"/>
    <n v="2748"/>
    <n v="80"/>
    <m/>
    <m/>
    <n v="468.07"/>
    <n v="50"/>
    <n v="3266.07"/>
    <n v="410.39"/>
    <n v="3676.46"/>
    <s v="DD"/>
    <e v="#DIV/0!"/>
    <m/>
    <e v="#DIV/0!"/>
    <e v="#VALUE!"/>
    <e v="#DIV/0!"/>
    <m/>
  </r>
  <r>
    <x v="16"/>
    <x v="42"/>
    <n v="2961"/>
    <n v="80"/>
    <m/>
    <m/>
    <n v="630.35"/>
    <n v="490"/>
    <n v="4081.35"/>
    <n v="472.77"/>
    <n v="4554.12"/>
    <s v="DD"/>
    <e v="#DIV/0!"/>
    <m/>
    <e v="#DIV/0!"/>
    <e v="#VALUE!"/>
    <e v="#DIV/0!"/>
    <m/>
  </r>
  <r>
    <x v="16"/>
    <x v="42"/>
    <n v="2726"/>
    <n v="80"/>
    <m/>
    <m/>
    <n v="450.19"/>
    <n v="0"/>
    <n v="3176.19"/>
    <n v="403.52"/>
    <n v="3579.71"/>
    <s v="DD"/>
    <e v="#DIV/0!"/>
    <m/>
    <e v="#DIV/0!"/>
    <e v="#VALUE!"/>
    <e v="#DIV/0!"/>
    <m/>
  </r>
  <r>
    <x v="16"/>
    <x v="42"/>
    <n v="2982"/>
    <n v="80"/>
    <m/>
    <m/>
    <n v="623.12"/>
    <n v="440"/>
    <n v="4045.12"/>
    <n v="469.99"/>
    <n v="4515.1099999999997"/>
    <s v="DD"/>
    <e v="#DIV/0!"/>
    <m/>
    <e v="#DIV/0!"/>
    <e v="#VALUE!"/>
    <e v="#DIV/0!"/>
    <m/>
  </r>
  <r>
    <x v="38"/>
    <x v="42"/>
    <n v="3409"/>
    <n v="80"/>
    <m/>
    <m/>
    <n v="644.75"/>
    <n v="100"/>
    <n v="4153.75"/>
    <n v="478.3"/>
    <n v="4632.05"/>
    <s v="DD"/>
    <n v="0"/>
    <n v="121"/>
    <n v="0"/>
    <n v="0"/>
    <n v="0"/>
    <n v="546.07000000000005"/>
  </r>
  <r>
    <x v="16"/>
    <x v="42"/>
    <n v="2715"/>
    <n v="80"/>
    <m/>
    <m/>
    <n v="457.4"/>
    <n v="40"/>
    <n v="3212.4"/>
    <n v="406.29"/>
    <n v="3618.69"/>
    <s v="DD"/>
    <e v="#DIV/0!"/>
    <m/>
    <e v="#DIV/0!"/>
    <e v="#VALUE!"/>
    <e v="#DIV/0!"/>
    <m/>
  </r>
  <r>
    <x v="16"/>
    <x v="42"/>
    <n v="2262"/>
    <n v="80"/>
    <m/>
    <m/>
    <n v="334.87"/>
    <n v="0"/>
    <n v="2596.87"/>
    <n v="359.19"/>
    <n v="2956.06"/>
    <s v="DD"/>
    <e v="#DIV/0!"/>
    <m/>
    <e v="#DIV/0!"/>
    <e v="#VALUE!"/>
    <e v="#DIV/0!"/>
    <m/>
  </r>
  <r>
    <x v="16"/>
    <x v="42"/>
    <n v="158"/>
    <n v="0"/>
    <m/>
    <m/>
    <n v="0"/>
    <n v="0"/>
    <n v="158"/>
    <n v="0"/>
    <n v="158"/>
    <s v="DD"/>
    <e v="#DIV/0!"/>
    <m/>
    <e v="#DIV/0!"/>
    <e v="#VALUE!"/>
    <e v="#DIV/0!"/>
    <m/>
  </r>
  <r>
    <x v="16"/>
    <x v="43"/>
    <n v="575"/>
    <n v="23"/>
    <m/>
    <n v="575"/>
    <n v="55.12"/>
    <n v="0"/>
    <n v="630.12"/>
    <n v="89.2"/>
    <n v="719.32"/>
    <n v="100199"/>
    <n v="25"/>
    <n v="23"/>
    <n v="0"/>
    <e v="#VALUE!"/>
    <n v="0"/>
    <n v="409.55"/>
  </r>
  <r>
    <x v="16"/>
    <x v="43"/>
    <n v="1977"/>
    <n v="45.5"/>
    <m/>
    <n v="2112"/>
    <n v="282.98"/>
    <n v="135"/>
    <n v="2394.98"/>
    <n v="321.27999999999997"/>
    <n v="2716.26"/>
    <n v="100203"/>
    <n v="24.994082840236686"/>
    <n v="84.5"/>
    <n v="68.73372781065089"/>
    <e v="#VALUE!"/>
    <n v="103.10059171597634"/>
    <m/>
  </r>
  <r>
    <x v="74"/>
    <x v="43"/>
    <m/>
    <n v="13.5"/>
    <m/>
    <m/>
    <m/>
    <m/>
    <m/>
    <m/>
    <m/>
    <m/>
    <n v="40.51"/>
    <n v="13.5"/>
    <n v="546.88499999999999"/>
    <n v="38.28"/>
    <n v="957.04874999999993"/>
    <n v="546.07000000000005"/>
  </r>
  <r>
    <x v="50"/>
    <x v="43"/>
    <n v="1991.09"/>
    <n v="42.5"/>
    <m/>
    <n v="2344.13"/>
    <n v="353.04"/>
    <n v="0"/>
    <n v="2344.13"/>
    <n v="346.36"/>
    <n v="2690.49"/>
    <n v="100206"/>
    <n v="28.76233128834356"/>
    <n v="81.5"/>
    <n v="14.38116564417178"/>
    <n v="1.01"/>
    <n v="25.167039877300617"/>
    <m/>
  </r>
  <r>
    <x v="99"/>
    <x v="43"/>
    <n v="1033.07"/>
    <n v="16"/>
    <m/>
    <n v="1140"/>
    <n v="106.93"/>
    <n v="0"/>
    <n v="1140"/>
    <n v="168.96"/>
    <n v="1308.96"/>
    <n v="100209"/>
    <n v="71.25"/>
    <n v="16"/>
    <n v="0"/>
    <n v="0"/>
    <n v="0"/>
    <m/>
  </r>
  <r>
    <x v="16"/>
    <x v="43"/>
    <n v="500"/>
    <n v="19.36"/>
    <m/>
    <n v="551.76"/>
    <n v="51.76"/>
    <n v="0"/>
    <n v="551.76"/>
    <n v="81.59"/>
    <n v="633.35"/>
    <n v="100212"/>
    <e v="#DIV/0!"/>
    <m/>
    <e v="#DIV/0!"/>
    <e v="#VALUE!"/>
    <e v="#DIV/0!"/>
    <m/>
  </r>
  <r>
    <x v="16"/>
    <x v="43"/>
    <n v="700.04"/>
    <n v="55"/>
    <m/>
    <n v="772.49"/>
    <n v="72.45"/>
    <n v="0"/>
    <n v="772.49"/>
    <n v="111.25"/>
    <n v="883.74"/>
    <n v="100216"/>
    <e v="#DIV/0!"/>
    <m/>
    <e v="#DIV/0!"/>
    <e v="#VALUE!"/>
    <e v="#DIV/0!"/>
    <m/>
  </r>
  <r>
    <x v="100"/>
    <x v="43"/>
    <n v="1407.54"/>
    <n v="55"/>
    <m/>
    <n v="1553.25"/>
    <n v="145.71"/>
    <n v="0"/>
    <n v="1553.25"/>
    <n v="220.39"/>
    <n v="1773.64"/>
    <n v="100219"/>
    <n v="28.240909090909092"/>
    <n v="55"/>
    <n v="0"/>
    <n v="0"/>
    <n v="0"/>
    <m/>
  </r>
  <r>
    <x v="101"/>
    <x v="43"/>
    <n v="3258.7"/>
    <n v="80"/>
    <m/>
    <n v="3731.46"/>
    <n v="472.76"/>
    <n v="0"/>
    <n v="3731.46"/>
    <n v="475.45"/>
    <n v="4206.91"/>
    <n v="100222"/>
    <n v="33.768868778280542"/>
    <n v="110.5"/>
    <n v="50.653303167420816"/>
    <n v="2.5299999999999998"/>
    <n v="88.643280542986432"/>
    <m/>
  </r>
  <r>
    <x v="77"/>
    <x v="43"/>
    <n v="2797.91"/>
    <n v="67"/>
    <m/>
    <n v="3583.88"/>
    <m/>
    <m/>
    <m/>
    <m/>
    <m/>
    <m/>
    <n v="40.51"/>
    <n v="67"/>
    <n v="2714.17"/>
    <n v="108.57"/>
    <n v="4749.7975000000006"/>
    <m/>
  </r>
  <r>
    <x v="80"/>
    <x v="43"/>
    <m/>
    <n v="94.5"/>
    <m/>
    <m/>
    <m/>
    <m/>
    <m/>
    <m/>
    <m/>
    <m/>
    <n v="40.51"/>
    <n v="94.5"/>
    <n v="4121.8924999999999"/>
    <n v="164.88"/>
    <n v="7213.3118749999994"/>
    <m/>
  </r>
  <r>
    <x v="78"/>
    <x v="43"/>
    <m/>
    <n v="77"/>
    <m/>
    <m/>
    <m/>
    <m/>
    <m/>
    <m/>
    <m/>
    <m/>
    <n v="40.51"/>
    <n v="77"/>
    <n v="3119.27"/>
    <n v="124.77"/>
    <n v="5458.7224999999999"/>
    <m/>
  </r>
  <r>
    <x v="16"/>
    <x v="44"/>
    <n v="2632"/>
    <n v="80"/>
    <n v="256.02999999999997"/>
    <n v="2640"/>
    <n v="264.02999999999997"/>
    <n v="0"/>
    <n v="2896.03"/>
    <n v="451.88"/>
    <n v="3347.91"/>
    <n v="100101"/>
    <e v="#DIV/0!"/>
    <m/>
    <e v="#DIV/0!"/>
    <e v="#VALUE!"/>
    <e v="#DIV/0!"/>
    <n v="409.55"/>
  </r>
  <r>
    <x v="16"/>
    <x v="44"/>
    <n v="1265"/>
    <n v="77.5"/>
    <n v="2.1"/>
    <n v="2015"/>
    <n v="312.10000000000002"/>
    <n v="440"/>
    <n v="2017.1"/>
    <n v="358.44"/>
    <n v="2375.54"/>
    <n v="100104"/>
    <e v="#DIV/0!"/>
    <m/>
    <e v="#DIV/0!"/>
    <e v="#VALUE!"/>
    <e v="#DIV/0!"/>
    <m/>
  </r>
  <r>
    <x v="16"/>
    <x v="44"/>
    <n v="1884"/>
    <n v="80"/>
    <n v="757.18"/>
    <n v="2480"/>
    <n v="553.17999999999995"/>
    <n v="800"/>
    <n v="3237.18"/>
    <n v="479.3"/>
    <n v="3716.48"/>
    <n v="100118"/>
    <e v="#DIV/0!"/>
    <m/>
    <e v="#DIV/0!"/>
    <e v="#VALUE!"/>
    <e v="#DIV/0!"/>
    <m/>
  </r>
  <r>
    <x v="16"/>
    <x v="44"/>
    <n v="1639"/>
    <n v="80"/>
    <n v="689.42"/>
    <n v="1800"/>
    <n v="410.42"/>
    <n v="440"/>
    <n v="2489.42"/>
    <n v="410.98"/>
    <n v="2900.4"/>
    <n v="100125"/>
    <e v="#DIV/0!"/>
    <m/>
    <e v="#DIV/0!"/>
    <e v="#VALUE!"/>
    <e v="#DIV/0!"/>
    <m/>
  </r>
  <r>
    <x v="16"/>
    <x v="44"/>
    <n v="1796"/>
    <n v="80"/>
    <n v="1064.92"/>
    <n v="1800"/>
    <n v="268.92"/>
    <n v="800"/>
    <n v="2864.92"/>
    <n v="448.75"/>
    <n v="3313.67"/>
    <n v="100133"/>
    <e v="#DIV/0!"/>
    <m/>
    <e v="#DIV/0!"/>
    <e v="#VALUE!"/>
    <e v="#DIV/0!"/>
    <m/>
  </r>
  <r>
    <x v="16"/>
    <x v="44"/>
    <n v="2871"/>
    <n v="80"/>
    <n v="1678.23"/>
    <n v="1800"/>
    <n v="607.23"/>
    <n v="0"/>
    <n v="3478.23"/>
    <n v="499.45"/>
    <n v="3977.68"/>
    <n v="100145"/>
    <e v="#DIV/0!"/>
    <m/>
    <e v="#DIV/0!"/>
    <e v="#VALUE!"/>
    <e v="#DIV/0!"/>
    <m/>
  </r>
  <r>
    <x v="16"/>
    <x v="44"/>
    <n v="2409"/>
    <n v="80"/>
    <n v="252.87"/>
    <n v="2409"/>
    <n v="252.87"/>
    <n v="0"/>
    <n v="2661.87"/>
    <n v="412.36"/>
    <n v="3074.23"/>
    <n v="100153"/>
    <e v="#DIV/0!"/>
    <m/>
    <e v="#DIV/0!"/>
    <e v="#VALUE!"/>
    <e v="#DIV/0!"/>
    <m/>
  </r>
  <r>
    <x v="16"/>
    <x v="44"/>
    <n v="2145"/>
    <n v="80"/>
    <n v="1052.97"/>
    <n v="1800"/>
    <n v="267.97000000000003"/>
    <n v="440"/>
    <n v="2852.97"/>
    <n v="430.43"/>
    <n v="3283.4"/>
    <n v="100165"/>
    <e v="#DIV/0!"/>
    <m/>
    <e v="#DIV/0!"/>
    <e v="#VALUE!"/>
    <e v="#DIV/0!"/>
    <m/>
  </r>
  <r>
    <x v="16"/>
    <x v="44"/>
    <n v="2750"/>
    <n v="80"/>
    <n v="1527.16"/>
    <n v="1800"/>
    <n v="577.16"/>
    <n v="0"/>
    <n v="3327.16"/>
    <n v="475.28"/>
    <n v="3802.44"/>
    <n v="100166"/>
    <e v="#DIV/0!"/>
    <m/>
    <e v="#DIV/0!"/>
    <e v="#VALUE!"/>
    <e v="#DIV/0!"/>
    <m/>
  </r>
  <r>
    <x v="16"/>
    <x v="44"/>
    <n v="2024"/>
    <n v="80"/>
    <n v="1170.0999999999999"/>
    <n v="1800"/>
    <n v="506.1"/>
    <n v="440"/>
    <n v="2970.1"/>
    <n v="441.52"/>
    <n v="3411.62"/>
    <n v="100171"/>
    <e v="#DIV/0!"/>
    <m/>
    <e v="#DIV/0!"/>
    <e v="#VALUE!"/>
    <e v="#DIV/0!"/>
    <m/>
  </r>
  <r>
    <x v="16"/>
    <x v="44"/>
    <n v="2024"/>
    <n v="80"/>
    <n v="620.76"/>
    <n v="1800"/>
    <n v="396.76"/>
    <n v="0"/>
    <n v="2420.7600000000002"/>
    <n v="389.54"/>
    <n v="2810.3"/>
    <s v="DD"/>
    <e v="#DIV/0!"/>
    <m/>
    <e v="#DIV/0!"/>
    <e v="#VALUE!"/>
    <e v="#DIV/0!"/>
    <m/>
  </r>
  <r>
    <x v="16"/>
    <x v="44"/>
    <n v="550"/>
    <n v="25"/>
    <n v="49.12"/>
    <n v="562.5"/>
    <n v="61.62"/>
    <n v="0"/>
    <n v="611.62"/>
    <n v="108.03"/>
    <n v="719.65"/>
    <n v="100174"/>
    <e v="#DIV/0!"/>
    <m/>
    <e v="#DIV/0!"/>
    <e v="#VALUE!"/>
    <e v="#DIV/0!"/>
    <m/>
  </r>
  <r>
    <x v="16"/>
    <x v="44"/>
    <n v="1576"/>
    <n v="80"/>
    <n v="610.75"/>
    <n v="1800"/>
    <n v="394.75"/>
    <n v="440"/>
    <n v="2410.75"/>
    <n v="384.49"/>
    <n v="2795.24"/>
    <s v="DD"/>
    <e v="#DIV/0!"/>
    <m/>
    <e v="#DIV/0!"/>
    <e v="#VALUE!"/>
    <e v="#DIV/0!"/>
    <m/>
  </r>
  <r>
    <x v="16"/>
    <x v="44"/>
    <n v="2142"/>
    <n v="80"/>
    <n v="768.08"/>
    <n v="1800"/>
    <n v="426.08"/>
    <n v="0"/>
    <n v="2568.08"/>
    <n v="399.11"/>
    <n v="2967.19"/>
    <s v="DD"/>
    <e v="#DIV/0!"/>
    <m/>
    <e v="#DIV/0!"/>
    <e v="#VALUE!"/>
    <e v="#DIV/0!"/>
    <m/>
  </r>
  <r>
    <x v="16"/>
    <x v="44"/>
    <n v="1925"/>
    <n v="80"/>
    <n v="1046.49"/>
    <n v="1800"/>
    <n v="481.49"/>
    <n v="440"/>
    <n v="2846.49"/>
    <n v="424.98"/>
    <n v="3271.47"/>
    <s v="DD"/>
    <e v="#DIV/0!"/>
    <m/>
    <e v="#DIV/0!"/>
    <e v="#VALUE!"/>
    <e v="#DIV/0!"/>
    <m/>
  </r>
  <r>
    <x v="16"/>
    <x v="44"/>
    <n v="1121"/>
    <n v="80"/>
    <n v="304.89999999999998"/>
    <n v="1800"/>
    <n v="333.9"/>
    <n v="650"/>
    <n v="2104.9"/>
    <n v="356.09"/>
    <n v="2460.9899999999998"/>
    <s v="DD"/>
    <e v="#DIV/0!"/>
    <m/>
    <e v="#DIV/0!"/>
    <e v="#VALUE!"/>
    <e v="#DIV/0!"/>
    <m/>
  </r>
  <r>
    <x v="29"/>
    <x v="44"/>
    <n v="1506"/>
    <n v="64.5"/>
    <n v="1213.8900000000001"/>
    <n v="1800"/>
    <n v="417.89"/>
    <n v="1090"/>
    <n v="3013.89"/>
    <n v="440.53"/>
    <n v="3454.42"/>
    <s v="DD"/>
    <n v="40.728243243243249"/>
    <n v="74"/>
    <n v="498.92097972972982"/>
    <n v="79.83"/>
    <n v="873.11171452702717"/>
    <n v="546.07000000000005"/>
  </r>
  <r>
    <x v="30"/>
    <x v="44"/>
    <n v="4843"/>
    <n v="80"/>
    <n v="790.18"/>
    <n v="1800"/>
    <n v="247.18"/>
    <n v="0"/>
    <n v="5090.18"/>
    <n v="401.16"/>
    <n v="5491.34"/>
    <s v="DD"/>
    <n v="24.320938967136147"/>
    <n v="106.5"/>
    <n v="322.25244131455395"/>
    <n v="51.56"/>
    <n v="563.94177230046944"/>
    <m/>
  </r>
  <r>
    <x v="31"/>
    <x v="44"/>
    <n v="2002"/>
    <n v="80"/>
    <n v="275.64999999999998"/>
    <n v="2002"/>
    <n v="275.64999999999998"/>
    <n v="0"/>
    <n v="2277.65"/>
    <n v="372.15"/>
    <n v="2649.8"/>
    <s v="DD"/>
    <n v="25.029120879120882"/>
    <n v="91"/>
    <n v="137.66016483516484"/>
    <n v="20.65"/>
    <n v="240.90528846153848"/>
    <m/>
  </r>
  <r>
    <x v="32"/>
    <x v="44"/>
    <n v="198"/>
    <n v="49"/>
    <n v="120.69"/>
    <n v="1078"/>
    <n v="120.76"/>
    <n v="879.93"/>
    <n v="1198.69"/>
    <n v="209.69"/>
    <n v="1408.38"/>
    <s v="DD"/>
    <n v="16"/>
    <n v="123"/>
    <n v="344"/>
    <n v="51.6"/>
    <n v="602"/>
    <m/>
  </r>
  <r>
    <x v="33"/>
    <x v="44"/>
    <n v="1762"/>
    <n v="80"/>
    <n v="443.75"/>
    <n v="2962"/>
    <n v="409.43"/>
    <n v="800"/>
    <n v="2971.43"/>
    <n v="436.57"/>
    <n v="3408"/>
    <s v="DD"/>
    <n v="27.689024390243901"/>
    <n v="123"/>
    <n v="595.31402439024384"/>
    <n v="89.3"/>
    <n v="1041.7995426829268"/>
    <m/>
  </r>
  <r>
    <x v="34"/>
    <x v="44"/>
    <n v="2160"/>
    <n v="80"/>
    <n v="617.57000000000005"/>
    <n v="3400"/>
    <n v="617.66999999999996"/>
    <n v="1240"/>
    <n v="4017.67"/>
    <n v="528.69000000000005"/>
    <n v="4546.3599999999997"/>
    <s v="DD"/>
    <n v="26.963557046979865"/>
    <n v="149"/>
    <n v="930.24271812080531"/>
    <n v="130.22999999999999"/>
    <n v="1627.9247567114094"/>
    <m/>
  </r>
  <r>
    <x v="35"/>
    <x v="44"/>
    <n v="1509"/>
    <n v="80"/>
    <n v="371.41"/>
    <n v="2409"/>
    <n v="371.41"/>
    <n v="900"/>
    <n v="2780.41"/>
    <n v="373.24"/>
    <n v="3153.65"/>
    <s v="DD"/>
    <n v="25.864279069767441"/>
    <n v="107.5"/>
    <n v="355.63383720930233"/>
    <n v="49.79"/>
    <n v="622.35921511627907"/>
    <m/>
  </r>
  <r>
    <x v="37"/>
    <x v="44"/>
    <n v="3171"/>
    <n v="80"/>
    <n v="670.09"/>
    <n v="3611"/>
    <n v="670.09"/>
    <n v="440"/>
    <n v="4281.09"/>
    <n v="488.04"/>
    <n v="4769.13"/>
    <s v="DD"/>
    <n v="27.980980392156862"/>
    <n v="153"/>
    <n v="1021.3057843137254"/>
    <n v="132.77000000000001"/>
    <n v="1787.2851225490194"/>
    <m/>
  </r>
  <r>
    <x v="38"/>
    <x v="44"/>
    <n v="3749"/>
    <n v="80"/>
    <n v="704.4"/>
    <n v="3749"/>
    <n v="704.4"/>
    <n v="0"/>
    <n v="4453.3999999999996"/>
    <n v="501.23"/>
    <n v="4954.63"/>
    <s v="DD"/>
    <n v="27.921003134796237"/>
    <n v="159.5"/>
    <n v="1109.8598746081504"/>
    <n v="144.28"/>
    <n v="1942.2547805642632"/>
    <m/>
  </r>
  <r>
    <x v="39"/>
    <x v="44"/>
    <n v="2541"/>
    <n v="80"/>
    <n v="404.21"/>
    <n v="2541"/>
    <n v="404.21"/>
    <n v="0"/>
    <n v="2945.21"/>
    <n v="385.85"/>
    <n v="3331.06"/>
    <s v="DD"/>
    <n v="26.653484162895928"/>
    <n v="110.5"/>
    <n v="406.46563348416294"/>
    <n v="48.78"/>
    <n v="711.31485859728514"/>
    <m/>
  </r>
  <r>
    <x v="40"/>
    <x v="44"/>
    <n v="829"/>
    <n v="80"/>
    <n v="117.26"/>
    <n v="829"/>
    <n v="117.26"/>
    <n v="0"/>
    <n v="946.26"/>
    <n v="232.92"/>
    <n v="1179.18"/>
    <s v="DD"/>
    <n v="16"/>
    <n v="136.5"/>
    <n v="452"/>
    <n v="54.24"/>
    <n v="791"/>
    <m/>
  </r>
  <r>
    <x v="41"/>
    <x v="44"/>
    <n v="3277"/>
    <n v="80"/>
    <n v="587.11"/>
    <n v="3277"/>
    <n v="587.11"/>
    <n v="0"/>
    <n v="3864.11"/>
    <n v="456.15"/>
    <n v="4320.26"/>
    <s v="DD"/>
    <n v="27.502562277580072"/>
    <n v="140.5"/>
    <n v="831.95250889679721"/>
    <n v="91.51"/>
    <n v="1455.916890569395"/>
    <m/>
  </r>
  <r>
    <x v="42"/>
    <x v="44"/>
    <n v="2438"/>
    <n v="73"/>
    <n v="378.62"/>
    <n v="2438"/>
    <n v="378.62"/>
    <n v="0"/>
    <n v="2816.62"/>
    <n v="376.01"/>
    <n v="3192.63"/>
    <s v="DD"/>
    <n v="26.57188679245283"/>
    <n v="106"/>
    <n v="438.43613207547168"/>
    <n v="48.23"/>
    <n v="767.26323113207548"/>
    <m/>
  </r>
  <r>
    <x v="43"/>
    <x v="44"/>
    <n v="3500"/>
    <n v="80"/>
    <n v="489.95"/>
    <n v="2272"/>
    <n v="489.95"/>
    <n v="0"/>
    <n v="3989.95"/>
    <n v="418.81"/>
    <n v="4408.76"/>
    <s v="DD"/>
    <n v="23.30759493670886"/>
    <n v="118.5"/>
    <n v="448.67120253164558"/>
    <n v="44.87"/>
    <n v="785.17460443037976"/>
    <m/>
  </r>
  <r>
    <x v="44"/>
    <x v="44"/>
    <n v="1937"/>
    <n v="80"/>
    <n v="410.12"/>
    <n v="2587"/>
    <n v="410.12"/>
    <n v="650"/>
    <n v="2997.12"/>
    <n v="456.95"/>
    <n v="3454.07"/>
    <s v="DD"/>
    <n v="26.641066666666667"/>
    <n v="112.5"/>
    <n v="432.91733333333332"/>
    <n v="43.29"/>
    <n v="757.60533333333331"/>
    <m/>
  </r>
  <r>
    <x v="45"/>
    <x v="44"/>
    <n v="2633"/>
    <n v="80"/>
    <m/>
    <n v="2633"/>
    <n v="337.66"/>
    <n v="0"/>
    <n v="2970.66"/>
    <n v="420.96"/>
    <n v="3391.62"/>
    <s v="DD"/>
    <n v="22.995633187772924"/>
    <n v="114.5"/>
    <n v="396.67467248908292"/>
    <n v="35.700000000000003"/>
    <n v="694.18067685589517"/>
    <m/>
  </r>
  <r>
    <x v="46"/>
    <x v="44"/>
    <n v="3307"/>
    <n v="80"/>
    <m/>
    <n v="3307"/>
    <n v="471.8"/>
    <n v="0"/>
    <n v="3778.8"/>
    <n v="475.97"/>
    <n v="4254.7700000000004"/>
    <s v="DD"/>
    <n v="23.537366548042705"/>
    <n v="140.5"/>
    <n v="712.00533807829186"/>
    <n v="64.08"/>
    <n v="1246.0093416370107"/>
    <m/>
  </r>
  <r>
    <x v="47"/>
    <x v="44"/>
    <n v="3197"/>
    <n v="80"/>
    <m/>
    <n v="3197"/>
    <n v="441.09"/>
    <n v="0"/>
    <n v="3638.09"/>
    <n v="409.42"/>
    <n v="4047.51"/>
    <s v="DD"/>
    <n v="23"/>
    <n v="139"/>
    <n v="678.5"/>
    <n v="54.28"/>
    <n v="1187.375"/>
    <m/>
  </r>
  <r>
    <x v="48"/>
    <x v="44"/>
    <n v="3312"/>
    <n v="80"/>
    <m/>
    <n v="3312"/>
    <n v="463.98"/>
    <n v="0"/>
    <n v="3775.98"/>
    <n v="420.11"/>
    <n v="4196.09"/>
    <s v="DD"/>
    <n v="23"/>
    <n v="144"/>
    <n v="736"/>
    <n v="58.88"/>
    <n v="1288"/>
    <m/>
  </r>
  <r>
    <x v="49"/>
    <x v="44"/>
    <n v="2403"/>
    <n v="80"/>
    <m/>
    <n v="2403"/>
    <n v="285.8"/>
    <n v="0"/>
    <n v="2688.8"/>
    <n v="335.66"/>
    <n v="3024.46"/>
    <s v="DD"/>
    <n v="22.995215311004785"/>
    <n v="104.5"/>
    <n v="281.69138755980862"/>
    <n v="22.54"/>
    <n v="492.95992822966508"/>
    <m/>
  </r>
  <r>
    <x v="50"/>
    <x v="44"/>
    <n v="2658.55"/>
    <n v="96"/>
    <m/>
    <n v="2868"/>
    <n v="401.45"/>
    <n v="0"/>
    <n v="3060"/>
    <n v="410.24"/>
    <n v="3470.24"/>
    <s v="DD"/>
    <n v="32.96551724137931"/>
    <n v="87"/>
    <n v="0"/>
    <n v="0"/>
    <n v="0"/>
    <m/>
  </r>
  <r>
    <x v="99"/>
    <x v="44"/>
    <n v="1033.07"/>
    <n v="28.5"/>
    <m/>
    <n v="1140"/>
    <n v="106.93"/>
    <n v="0"/>
    <n v="1140"/>
    <n v="162.12"/>
    <n v="1302.1199999999999"/>
    <s v="DD"/>
    <n v="40"/>
    <n v="28.5"/>
    <n v="0"/>
    <n v="0"/>
    <n v="0"/>
    <m/>
  </r>
  <r>
    <x v="16"/>
    <x v="44"/>
    <n v="500"/>
    <n v="19.36"/>
    <m/>
    <n v="551.76"/>
    <n v="51.76"/>
    <n v="0"/>
    <n v="551.76"/>
    <n v="78.28"/>
    <n v="630.04"/>
    <s v="DD"/>
    <e v="#DIV/0!"/>
    <m/>
    <e v="#DIV/0!"/>
    <e v="#VALUE!"/>
    <e v="#DIV/0!"/>
    <m/>
  </r>
  <r>
    <x v="16"/>
    <x v="44"/>
    <n v="700.03"/>
    <n v="27.11"/>
    <m/>
    <n v="772.49"/>
    <n v="72.459999999999994"/>
    <n v="0"/>
    <n v="772.49"/>
    <n v="109.6"/>
    <n v="882.09"/>
    <s v="DD"/>
    <e v="#DIV/0!"/>
    <m/>
    <e v="#DIV/0!"/>
    <e v="#VALUE!"/>
    <e v="#DIV/0!"/>
    <m/>
  </r>
  <r>
    <x v="100"/>
    <x v="44"/>
    <n v="1786.35"/>
    <n v="80"/>
    <m/>
    <n v="2000"/>
    <n v="213.65"/>
    <n v="0"/>
    <n v="2000"/>
    <n v="301.69"/>
    <n v="2301.69"/>
    <s v="DD"/>
    <n v="23.80952380952381"/>
    <n v="84"/>
    <n v="0"/>
    <n v="0"/>
    <n v="0"/>
    <m/>
  </r>
  <r>
    <x v="101"/>
    <x v="44"/>
    <n v="2456.2600000000002"/>
    <n v="86.5"/>
    <m/>
    <n v="2342.88"/>
    <n v="316.62"/>
    <n v="0"/>
    <n v="2772.88"/>
    <n v="356.97"/>
    <n v="3129.85"/>
    <s v="DD"/>
    <n v="27.085317919075145"/>
    <n v="86.5"/>
    <n v="0"/>
    <n v="0"/>
    <n v="0"/>
    <m/>
  </r>
  <r>
    <x v="77"/>
    <x v="44"/>
    <n v="2634.57"/>
    <n v="107"/>
    <m/>
    <n v="3434.25"/>
    <m/>
    <m/>
    <m/>
    <m/>
    <m/>
    <m/>
    <n v="26.19"/>
    <n v="107"/>
    <n v="2350.5525000000002"/>
    <n v="94.02"/>
    <n v="4113.4668750000001"/>
    <m/>
  </r>
  <r>
    <x v="80"/>
    <x v="44"/>
    <m/>
    <n v="109.5"/>
    <m/>
    <m/>
    <m/>
    <m/>
    <m/>
    <m/>
    <m/>
    <m/>
    <n v="26.19"/>
    <n v="109.5"/>
    <m/>
    <n v="0"/>
    <n v="0"/>
    <m/>
  </r>
  <r>
    <x v="78"/>
    <x v="44"/>
    <m/>
    <n v="106"/>
    <m/>
    <m/>
    <m/>
    <m/>
    <m/>
    <m/>
    <m/>
    <m/>
    <n v="26.19"/>
    <n v="106"/>
    <m/>
    <n v="0"/>
    <n v="0"/>
    <m/>
  </r>
  <r>
    <x v="43"/>
    <x v="45"/>
    <n v="1760"/>
    <n v="80"/>
    <n v="273.13"/>
    <n v="1810"/>
    <n v="273.13"/>
    <n v="50"/>
    <n v="2083.13"/>
    <n v="366.57"/>
    <n v="2449.6999999999998"/>
    <s v="DD"/>
    <n v="23.018011049723757"/>
    <n v="90.5"/>
    <n v="120.84455801104973"/>
    <n v="12.08"/>
    <n v="211.47797651933703"/>
    <n v="546.07000000000005"/>
  </r>
  <r>
    <x v="44"/>
    <x v="45"/>
    <n v="1740"/>
    <n v="49.5"/>
    <n v="254.58"/>
    <n v="1740"/>
    <n v="254.58"/>
    <n v="0"/>
    <n v="1994.58"/>
    <n v="357.8"/>
    <n v="2352.38"/>
    <s v="DD"/>
    <n v="22.926206896551722"/>
    <n v="87"/>
    <n v="108.89948275862068"/>
    <n v="10.89"/>
    <n v="190.57409482758618"/>
    <m/>
  </r>
  <r>
    <x v="45"/>
    <x v="45"/>
    <n v="1820"/>
    <n v="51.5"/>
    <m/>
    <n v="1920"/>
    <n v="241.23"/>
    <n v="100"/>
    <n v="2161.23"/>
    <n v="350.43"/>
    <n v="2511.66"/>
    <s v="DD"/>
    <n v="22.994011976047904"/>
    <n v="83.5"/>
    <n v="132.21556886227546"/>
    <n v="11.9"/>
    <n v="231.37724550898207"/>
    <m/>
  </r>
  <r>
    <x v="46"/>
    <x v="45"/>
    <n v="1891"/>
    <n v="52"/>
    <m/>
    <n v="1921"/>
    <n v="241.42"/>
    <n v="30"/>
    <n v="2162.42"/>
    <n v="350.53"/>
    <n v="2512.9499999999998"/>
    <s v="DD"/>
    <n v="20.994535519125684"/>
    <n v="91.5"/>
    <n v="125.9672131147541"/>
    <n v="11.34"/>
    <n v="220.44262295081967"/>
    <m/>
  </r>
  <r>
    <x v="47"/>
    <x v="45"/>
    <n v="2045"/>
    <n v="80"/>
    <m/>
    <n v="2095"/>
    <n v="263.73"/>
    <n v="50"/>
    <n v="2358.73"/>
    <n v="314.02999999999997"/>
    <n v="2672.76"/>
    <s v="DD"/>
    <n v="22.05263157894737"/>
    <n v="95"/>
    <n v="165.39473684210526"/>
    <n v="13.23"/>
    <n v="289.44078947368422"/>
    <m/>
  </r>
  <r>
    <x v="48"/>
    <x v="45"/>
    <n v="2071"/>
    <n v="80"/>
    <m/>
    <n v="2121"/>
    <n v="268.39999999999998"/>
    <n v="50"/>
    <n v="2389.4"/>
    <n v="309.45999999999998"/>
    <n v="2698.86"/>
    <s v="DD"/>
    <n v="21"/>
    <n v="101"/>
    <n v="220.5"/>
    <n v="17.64"/>
    <n v="385.875"/>
    <m/>
  </r>
  <r>
    <x v="49"/>
    <x v="45"/>
    <n v="1934"/>
    <n v="45"/>
    <n v="2000"/>
    <n v="1984"/>
    <n v="243.87"/>
    <n v="50"/>
    <n v="2227.87"/>
    <n v="296.74"/>
    <n v="2524.61"/>
    <s v="DD"/>
    <n v="42.158730158730158"/>
    <n v="94.5"/>
    <n v="305.65079365079367"/>
    <n v="24.45"/>
    <n v="534.88888888888891"/>
    <m/>
  </r>
  <r>
    <x v="50"/>
    <x v="45"/>
    <n v="1839.73"/>
    <n v="45"/>
    <m/>
    <n v="2150"/>
    <n v="275.27"/>
    <n v="35"/>
    <n v="2150"/>
    <n v="317.77"/>
    <n v="2467.77"/>
    <s v="DD"/>
    <n v="25.595238095238095"/>
    <n v="84"/>
    <n v="12.797619047619047"/>
    <n v="0.9"/>
    <n v="22.395833333333332"/>
    <m/>
  </r>
  <r>
    <x v="99"/>
    <x v="45"/>
    <n v="904.13"/>
    <n v="24"/>
    <m/>
    <n v="1000"/>
    <n v="95.87"/>
    <n v="0"/>
    <n v="1000"/>
    <n v="149.11000000000001"/>
    <n v="1149.1099999999999"/>
    <s v="DD"/>
    <n v="41.666666666666664"/>
    <n v="24"/>
    <n v="0"/>
    <n v="0"/>
    <n v="0"/>
    <m/>
  </r>
  <r>
    <x v="16"/>
    <x v="45"/>
    <n v="500.22"/>
    <n v="22.13"/>
    <m/>
    <n v="553.25"/>
    <n v="53.03"/>
    <n v="0"/>
    <n v="553.25"/>
    <n v="83.45"/>
    <n v="636.70000000000005"/>
    <s v="DD"/>
    <e v="#DIV/0!"/>
    <m/>
    <e v="#DIV/0!"/>
    <e v="#VALUE!"/>
    <e v="#DIV/0!"/>
    <m/>
  </r>
  <r>
    <x v="16"/>
    <x v="45"/>
    <n v="700.05"/>
    <n v="30.97"/>
    <m/>
    <n v="774.28"/>
    <n v="74.23"/>
    <n v="0"/>
    <n v="774.28"/>
    <n v="116.8"/>
    <n v="891.08"/>
    <s v="DD"/>
    <e v="#DIV/0!"/>
    <m/>
    <e v="#DIV/0!"/>
    <e v="#VALUE!"/>
    <e v="#DIV/0!"/>
    <m/>
  </r>
  <r>
    <x v="100"/>
    <x v="45"/>
    <n v="904.13"/>
    <n v="40"/>
    <m/>
    <n v="1000"/>
    <n v="95.87"/>
    <n v="0"/>
    <n v="1000"/>
    <n v="150.84"/>
    <n v="1150.8399999999999"/>
    <s v="DD"/>
    <n v="25"/>
    <n v="40"/>
    <n v="0"/>
    <n v="0"/>
    <n v="0"/>
    <m/>
  </r>
  <r>
    <x v="101"/>
    <x v="45"/>
    <n v="1592.45"/>
    <n v="40.5"/>
    <m/>
    <n v="1800"/>
    <n v="207.55"/>
    <n v="0"/>
    <n v="1800"/>
    <n v="271.52"/>
    <n v="2071.52"/>
    <s v="DD"/>
    <n v="24.827586206896552"/>
    <n v="72.5"/>
    <n v="6.2068965517241379"/>
    <n v="0.31"/>
    <n v="10.862068965517242"/>
    <m/>
  </r>
  <r>
    <x v="77"/>
    <x v="45"/>
    <m/>
    <n v="80"/>
    <m/>
    <n v="2353"/>
    <m/>
    <m/>
    <m/>
    <m/>
    <m/>
    <m/>
    <n v="26.57"/>
    <n v="80"/>
    <n v="2125.6"/>
    <n v="85.02"/>
    <n v="3719.7999999999997"/>
    <m/>
  </r>
  <r>
    <x v="80"/>
    <x v="45"/>
    <m/>
    <n v="94.5"/>
    <m/>
    <m/>
    <m/>
    <m/>
    <m/>
    <m/>
    <m/>
    <m/>
    <n v="26.57"/>
    <n v="94.5"/>
    <n v="2703.4974999999999"/>
    <n v="108.14"/>
    <n v="4731.1206249999996"/>
    <m/>
  </r>
  <r>
    <x v="78"/>
    <x v="45"/>
    <m/>
    <n v="106.5"/>
    <m/>
    <m/>
    <m/>
    <m/>
    <m/>
    <m/>
    <m/>
    <m/>
    <n v="26.57"/>
    <n v="106.5"/>
    <n v="3181.7574999999997"/>
    <n v="127.27"/>
    <n v="5568.0756249999995"/>
    <m/>
  </r>
  <r>
    <x v="16"/>
    <x v="46"/>
    <n v="1354"/>
    <n v="80"/>
    <m/>
    <n v="1404"/>
    <n v="248.28"/>
    <n v="50"/>
    <n v="1652.28"/>
    <n v="251.27"/>
    <n v="1903.55"/>
    <s v="DD"/>
    <e v="#DIV/0!"/>
    <m/>
    <e v="#DIV/0!"/>
    <e v="#VALUE!"/>
    <e v="#DIV/0!"/>
    <n v="409.55"/>
  </r>
  <r>
    <x v="48"/>
    <x v="46"/>
    <n v="1795"/>
    <n v="53"/>
    <m/>
    <n v="1845"/>
    <n v="336.05"/>
    <n v="50"/>
    <n v="2181.0500000000002"/>
    <n v="294.89"/>
    <n v="2475.94"/>
    <s v="DD"/>
    <n v="34.811320754716981"/>
    <n v="53"/>
    <n v="226.27358490566039"/>
    <n v="18.100000000000001"/>
    <n v="395.9787735849057"/>
    <n v="546.07000000000005"/>
  </r>
  <r>
    <x v="16"/>
    <x v="46"/>
    <n v="1606"/>
    <n v="80"/>
    <m/>
    <n v="1656"/>
    <n v="298.43"/>
    <n v="50"/>
    <n v="1954.43"/>
    <n v="276.2"/>
    <n v="2230.63"/>
    <s v="DD"/>
    <e v="#DIV/0!"/>
    <m/>
    <e v="#DIV/0!"/>
    <e v="#VALUE!"/>
    <e v="#DIV/0!"/>
    <m/>
  </r>
  <r>
    <x v="16"/>
    <x v="46"/>
    <n v="1453.68"/>
    <n v="84.5"/>
    <m/>
    <n v="1778.38"/>
    <n v="324.7"/>
    <n v="0"/>
    <n v="1778.38"/>
    <n v="294.63"/>
    <n v="2073.0100000000002"/>
    <s v="DD"/>
    <e v="#DIV/0!"/>
    <m/>
    <e v="#DIV/0!"/>
    <e v="#VALUE!"/>
    <e v="#DIV/0!"/>
    <m/>
  </r>
  <r>
    <x v="16"/>
    <x v="46"/>
    <n v="704.05"/>
    <n v="40"/>
    <m/>
    <n v="820"/>
    <n v="115.95"/>
    <n v="0"/>
    <n v="820"/>
    <n v="134.28"/>
    <n v="954.28"/>
    <s v="DD"/>
    <e v="#DIV/0!"/>
    <m/>
    <e v="#DIV/0!"/>
    <e v="#VALUE!"/>
    <e v="#DIV/0!"/>
    <m/>
  </r>
  <r>
    <x v="16"/>
    <x v="46"/>
    <n v="500.1"/>
    <n v="27.57"/>
    <m/>
    <n v="565.19000000000005"/>
    <n v="65.09"/>
    <n v="0"/>
    <n v="565.19000000000005"/>
    <n v="94.32"/>
    <n v="659.51"/>
    <s v="DD"/>
    <e v="#DIV/0!"/>
    <m/>
    <e v="#DIV/0!"/>
    <e v="#VALUE!"/>
    <e v="#DIV/0!"/>
    <m/>
  </r>
  <r>
    <x v="16"/>
    <x v="46"/>
    <n v="700"/>
    <n v="39.75"/>
    <m/>
    <n v="814.94"/>
    <n v="114.94"/>
    <n v="0"/>
    <n v="814.94"/>
    <n v="135.99"/>
    <n v="950.93"/>
    <s v="DD"/>
    <e v="#DIV/0!"/>
    <m/>
    <e v="#DIV/0!"/>
    <e v="#VALUE!"/>
    <e v="#DIV/0!"/>
    <m/>
  </r>
  <r>
    <x v="16"/>
    <x v="46"/>
    <n v="1344.75"/>
    <n v="80"/>
    <m/>
    <n v="1640"/>
    <n v="295.25"/>
    <n v="0"/>
    <n v="1640"/>
    <n v="273.68"/>
    <n v="1913.68"/>
    <s v="DD"/>
    <e v="#DIV/0!"/>
    <m/>
    <e v="#DIV/0!"/>
    <e v="#VALUE!"/>
    <e v="#DIV/0!"/>
    <m/>
  </r>
  <r>
    <x v="16"/>
    <x v="46"/>
    <n v="1878.33"/>
    <n v="96.5"/>
    <m/>
    <n v="2356.88"/>
    <n v="478.55"/>
    <n v="0"/>
    <n v="2356.88"/>
    <n v="359.59"/>
    <n v="2716.47"/>
    <s v="DD"/>
    <e v="#DIV/0!"/>
    <m/>
    <e v="#DIV/0!"/>
    <e v="#VALUE!"/>
    <e v="#DIV/0!"/>
    <m/>
  </r>
  <r>
    <x v="80"/>
    <x v="46"/>
    <m/>
    <n v="97.5"/>
    <m/>
    <m/>
    <m/>
    <m/>
    <m/>
    <m/>
    <m/>
    <m/>
    <n v="34.81"/>
    <n v="97.5"/>
    <n v="3698.5625"/>
    <n v="147.94"/>
    <n v="6472.484375"/>
    <m/>
  </r>
  <r>
    <x v="18"/>
    <x v="47"/>
    <n v="1591"/>
    <n v="80"/>
    <n v="199.83"/>
    <n v="1791"/>
    <n v="199.83"/>
    <n v="200"/>
    <n v="1990.83"/>
    <n v="360.82"/>
    <n v="2351.65"/>
    <n v="100150"/>
    <n v="20.008341708542712"/>
    <n v="99.5"/>
    <n v="195.08133165829145"/>
    <n v="40.97"/>
    <n v="341.39233040201003"/>
    <n v="546.07000000000005"/>
  </r>
  <r>
    <x v="26"/>
    <x v="47"/>
    <n v="1140"/>
    <n v="80"/>
    <n v="185.15"/>
    <n v="1620"/>
    <n v="185.15"/>
    <n v="480"/>
    <n v="1805.15"/>
    <n v="342.14"/>
    <n v="2147.29"/>
    <n v="100160"/>
    <n v="20.057222222222222"/>
    <n v="90"/>
    <n v="100.28611111111111"/>
    <n v="20.059999999999999"/>
    <n v="175.50069444444443"/>
    <m/>
  </r>
  <r>
    <x v="20"/>
    <x v="47"/>
    <n v="1018"/>
    <n v="80"/>
    <n v="287.83"/>
    <n v="1683"/>
    <n v="287.83"/>
    <n v="665"/>
    <n v="1970.83"/>
    <n v="358.8"/>
    <n v="2329.63"/>
    <s v="DD"/>
    <n v="21.078395721925133"/>
    <n v="93.5"/>
    <n v="142.27917112299465"/>
    <n v="28.46"/>
    <n v="248.98854946524065"/>
    <m/>
  </r>
  <r>
    <x v="21"/>
    <x v="47"/>
    <n v="1198"/>
    <n v="80"/>
    <n v="276.64"/>
    <n v="1638"/>
    <n v="276.64"/>
    <n v="440"/>
    <n v="1914.64"/>
    <n v="349.06"/>
    <n v="2263.6999999999998"/>
    <s v="DD"/>
    <n v="21.04"/>
    <n v="91"/>
    <n v="115.72"/>
    <n v="21.99"/>
    <n v="202.51"/>
    <m/>
  </r>
  <r>
    <x v="22"/>
    <x v="47"/>
    <n v="1053"/>
    <n v="80"/>
    <n v="265.47000000000003"/>
    <n v="1593"/>
    <n v="265.47000000000003"/>
    <n v="540"/>
    <n v="1858.47"/>
    <n v="336.36"/>
    <n v="2194.83"/>
    <s v="DD"/>
    <n v="20.999661016949151"/>
    <n v="88.5"/>
    <n v="89.248559322033898"/>
    <n v="16.96"/>
    <n v="156.18497881355933"/>
    <m/>
  </r>
  <r>
    <x v="23"/>
    <x v="47"/>
    <n v="1134"/>
    <n v="80"/>
    <n v="263.2"/>
    <n v="1584"/>
    <n v="263.2"/>
    <n v="450"/>
    <n v="1847.2"/>
    <n v="332.13"/>
    <n v="2179.33"/>
    <s v="DD"/>
    <n v="20.990909090909092"/>
    <n v="88"/>
    <n v="83.963636363636368"/>
    <n v="15.11"/>
    <n v="146.93636363636364"/>
    <m/>
  </r>
  <r>
    <x v="24"/>
    <x v="47"/>
    <n v="1880"/>
    <n v="80"/>
    <n v="336.78"/>
    <n v="1880"/>
    <n v="336.78"/>
    <n v="0"/>
    <n v="2216.7800000000002"/>
    <n v="366.48"/>
    <n v="2583.2600000000002"/>
    <s v="DD"/>
    <n v="23.582765957446806"/>
    <n v="94"/>
    <n v="165.07936170212764"/>
    <n v="29.71"/>
    <n v="288.88888297872336"/>
    <m/>
  </r>
  <r>
    <x v="27"/>
    <x v="47"/>
    <n v="1698"/>
    <n v="80"/>
    <n v="406.34"/>
    <n v="2160"/>
    <n v="406.34"/>
    <n v="462"/>
    <n v="2566.34"/>
    <n v="398.95"/>
    <n v="2965.29"/>
    <s v="DD"/>
    <n v="23.762407407407409"/>
    <n v="108"/>
    <n v="332.67370370370372"/>
    <n v="56.55"/>
    <n v="582.17898148148151"/>
    <m/>
  </r>
  <r>
    <x v="28"/>
    <x v="47"/>
    <n v="1790"/>
    <n v="80"/>
    <n v="314.39999999999998"/>
    <n v="1790"/>
    <n v="314.39999999999998"/>
    <n v="0"/>
    <n v="2104.4"/>
    <n v="356.04"/>
    <n v="2460.44"/>
    <s v="DD"/>
    <n v="23.512849162011175"/>
    <n v="89.5"/>
    <n v="111.68603351955308"/>
    <n v="18.989999999999998"/>
    <n v="195.45055865921788"/>
    <m/>
  </r>
  <r>
    <x v="29"/>
    <x v="47"/>
    <n v="1390"/>
    <n v="80"/>
    <n v="336.87"/>
    <n v="2270"/>
    <n v="336.87"/>
    <n v="880"/>
    <n v="2606.87"/>
    <n v="402.71"/>
    <n v="3009.58"/>
    <s v="DD"/>
    <n v="22.968017621145375"/>
    <n v="113.5"/>
    <n v="384.71429515418504"/>
    <n v="61.55"/>
    <n v="673.25001651982382"/>
    <m/>
  </r>
  <r>
    <x v="30"/>
    <x v="47"/>
    <n v="1680"/>
    <n v="80"/>
    <n v="190.3"/>
    <n v="1680"/>
    <n v="190.3"/>
    <n v="0"/>
    <n v="1870.3"/>
    <n v="334.29"/>
    <n v="2204.59"/>
    <s v="DD"/>
    <n v="22.265476190476189"/>
    <n v="84"/>
    <n v="44.530952380952378"/>
    <n v="7.12"/>
    <n v="77.92916666666666"/>
    <m/>
  </r>
  <r>
    <x v="31"/>
    <x v="47"/>
    <n v="1650"/>
    <n v="50"/>
    <n v="198.88"/>
    <n v="1650"/>
    <n v="198.88"/>
    <n v="0"/>
    <n v="1848.88"/>
    <n v="332.3"/>
    <n v="2181.1799999999998"/>
    <s v="DD"/>
    <n v="22.410666666666668"/>
    <n v="82.5"/>
    <n v="112.05333333333334"/>
    <n v="16.809999999999999"/>
    <n v="196.09333333333336"/>
    <m/>
  </r>
  <r>
    <x v="32"/>
    <x v="47"/>
    <n v="1010"/>
    <n v="80"/>
    <n v="251.2"/>
    <n v="1890"/>
    <n v="251.22"/>
    <n v="879.98"/>
    <n v="2141.1999999999998"/>
    <n v="359.47"/>
    <n v="2500.67"/>
    <s v="DD"/>
    <n v="22.658201058201055"/>
    <n v="94.5"/>
    <n v="164.27195767195764"/>
    <n v="24.64"/>
    <n v="287.47592592592588"/>
    <m/>
  </r>
  <r>
    <x v="33"/>
    <x v="47"/>
    <n v="2200"/>
    <n v="80"/>
    <n v="319.45999999999998"/>
    <n v="2200"/>
    <n v="319.45999999999998"/>
    <n v="0"/>
    <n v="2519.46"/>
    <n v="394.58"/>
    <n v="2914.04"/>
    <s v="DD"/>
    <n v="22.904181818181819"/>
    <n v="110"/>
    <n v="343.56272727272727"/>
    <n v="51.53"/>
    <n v="601.23477272727268"/>
    <m/>
  </r>
  <r>
    <x v="34"/>
    <x v="47"/>
    <n v="930"/>
    <n v="52.5"/>
    <n v="233.77"/>
    <n v="1810"/>
    <n v="233.77"/>
    <n v="880"/>
    <n v="2043.77"/>
    <n v="350.41"/>
    <n v="2394.1799999999998"/>
    <s v="DD"/>
    <n v="22.583093922651933"/>
    <n v="90.5"/>
    <n v="141.14433701657458"/>
    <n v="19.760000000000002"/>
    <n v="247.00258977900552"/>
    <m/>
  </r>
  <r>
    <x v="35"/>
    <x v="47"/>
    <n v="1960"/>
    <n v="59"/>
    <n v="266.48"/>
    <n v="1960"/>
    <n v="266.48"/>
    <n v="0"/>
    <n v="2226.48"/>
    <n v="367.39"/>
    <n v="2593.87"/>
    <s v="DD"/>
    <n v="22.719183673469388"/>
    <n v="98"/>
    <n v="215.83224489795919"/>
    <n v="30.22"/>
    <n v="377.70642857142855"/>
    <m/>
  </r>
  <r>
    <x v="37"/>
    <x v="47"/>
    <n v="2435"/>
    <n v="80"/>
    <n v="487.21"/>
    <n v="2875"/>
    <n v="487.21"/>
    <n v="440"/>
    <n v="3362.21"/>
    <n v="472.89"/>
    <n v="3835.1"/>
    <s v="DD"/>
    <n v="26.897680000000001"/>
    <n v="125"/>
    <n v="605.19780000000003"/>
    <n v="78.680000000000007"/>
    <n v="1059.0961500000001"/>
    <m/>
  </r>
  <r>
    <x v="38"/>
    <x v="47"/>
    <n v="2829"/>
    <n v="80"/>
    <n v="475.77"/>
    <n v="2829"/>
    <n v="475.77"/>
    <n v="0"/>
    <n v="3304.77"/>
    <n v="467.55"/>
    <n v="3772.32"/>
    <s v="DD"/>
    <n v="26.868048780487804"/>
    <n v="123"/>
    <n v="577.66304878048777"/>
    <n v="75.099999999999994"/>
    <n v="1010.9103353658536"/>
    <m/>
  </r>
  <r>
    <x v="39"/>
    <x v="47"/>
    <n v="2495"/>
    <n v="80"/>
    <n v="392.78"/>
    <n v="2495"/>
    <n v="392.78"/>
    <n v="0"/>
    <n v="2887.78"/>
    <n v="428.81"/>
    <n v="3316.59"/>
    <s v="DD"/>
    <n v="26.61548387096774"/>
    <n v="108.5"/>
    <n v="379.2706451612903"/>
    <n v="45.51"/>
    <n v="663.72362903225803"/>
    <m/>
  </r>
  <r>
    <x v="40"/>
    <x v="47"/>
    <n v="2852"/>
    <n v="80"/>
    <n v="481.5"/>
    <n v="2852"/>
    <n v="481.5"/>
    <n v="0"/>
    <n v="3333.5"/>
    <n v="470.23"/>
    <n v="3803.73"/>
    <s v="DD"/>
    <n v="26.991902834008098"/>
    <n v="123.5"/>
    <n v="587.07388663967618"/>
    <n v="70.45"/>
    <n v="1027.3793016194334"/>
    <m/>
  </r>
  <r>
    <x v="41"/>
    <x v="47"/>
    <n v="2219"/>
    <n v="80"/>
    <n v="324.19"/>
    <n v="2219"/>
    <n v="324.19"/>
    <n v="0"/>
    <n v="2543.19"/>
    <n v="396.8"/>
    <n v="2939.99"/>
    <s v="DD"/>
    <n v="26.354300518134714"/>
    <n v="96.5"/>
    <n v="217.42297927461138"/>
    <n v="23.92"/>
    <n v="380.49021373056991"/>
    <m/>
  </r>
  <r>
    <x v="42"/>
    <x v="47"/>
    <n v="1805"/>
    <n v="52"/>
    <n v="232.69"/>
    <n v="1805"/>
    <n v="232.69"/>
    <n v="0"/>
    <n v="2037.69"/>
    <n v="330.16"/>
    <n v="2367.85"/>
    <s v="DD"/>
    <n v="25.957834394904459"/>
    <n v="78.5"/>
    <n v="155.74700636942674"/>
    <n v="17.13"/>
    <n v="272.55726114649678"/>
    <m/>
  </r>
  <r>
    <x v="43"/>
    <x v="47"/>
    <n v="2323"/>
    <n v="80"/>
    <n v="350.03"/>
    <n v="2323"/>
    <n v="350.03"/>
    <n v="0"/>
    <n v="2673.03"/>
    <n v="365.02"/>
    <n v="3038.05"/>
    <s v="DD"/>
    <n v="26.465643564356434"/>
    <n v="101"/>
    <n v="277.88925742574253"/>
    <n v="27.79"/>
    <n v="486.30620049504944"/>
    <m/>
  </r>
  <r>
    <x v="44"/>
    <x v="47"/>
    <n v="2070"/>
    <n v="50.5"/>
    <n v="286.26"/>
    <n v="2070"/>
    <n v="286.26"/>
    <n v="0"/>
    <n v="2356.2600000000002"/>
    <n v="393.58"/>
    <n v="2749.84"/>
    <s v="DD"/>
    <n v="26.326927374301679"/>
    <n v="89.5"/>
    <n v="138.2163687150838"/>
    <n v="13.82"/>
    <n v="241.87864525139665"/>
    <m/>
  </r>
  <r>
    <x v="45"/>
    <x v="47"/>
    <n v="2081"/>
    <n v="51.5"/>
    <m/>
    <n v="2081"/>
    <n v="236.96"/>
    <n v="0"/>
    <n v="2317.96"/>
    <n v="366.34"/>
    <n v="2684.3"/>
    <s v="DD"/>
    <n v="22.994475138121548"/>
    <n v="90.5"/>
    <n v="132.21823204419888"/>
    <n v="11.9"/>
    <n v="231.38190607734805"/>
    <m/>
  </r>
  <r>
    <x v="46"/>
    <x v="47"/>
    <n v="2334"/>
    <n v="80"/>
    <m/>
    <n v="2346"/>
    <n v="284.42"/>
    <n v="12"/>
    <n v="2630.42"/>
    <n v="392.57"/>
    <n v="3022.99"/>
    <s v="DD"/>
    <n v="23"/>
    <n v="102"/>
    <n v="253"/>
    <n v="22.77"/>
    <n v="442.75"/>
    <m/>
  </r>
  <r>
    <x v="47"/>
    <x v="47"/>
    <n v="2219"/>
    <n v="80"/>
    <m/>
    <n v="2254"/>
    <n v="259.12"/>
    <n v="35"/>
    <n v="2513.12"/>
    <n v="323.11"/>
    <n v="2836.23"/>
    <s v="DD"/>
    <n v="23"/>
    <n v="98"/>
    <n v="207"/>
    <n v="16.559999999999999"/>
    <n v="362.25"/>
    <m/>
  </r>
  <r>
    <x v="48"/>
    <x v="47"/>
    <n v="2081"/>
    <n v="80"/>
    <m/>
    <n v="2081"/>
    <n v="228.14"/>
    <n v="0"/>
    <n v="2309.14"/>
    <n v="305.75"/>
    <n v="2614.89"/>
    <s v="DD"/>
    <n v="22.994475138121548"/>
    <n v="90.5"/>
    <n v="120.72099447513813"/>
    <n v="9.66"/>
    <n v="211.26174033149172"/>
    <m/>
  </r>
  <r>
    <x v="49"/>
    <x v="47"/>
    <n v="2325"/>
    <n v="80"/>
    <m/>
    <n v="2325"/>
    <n v="271.83999999999997"/>
    <n v="0"/>
    <n v="2596.84"/>
    <n v="328.42"/>
    <n v="2925.26"/>
    <s v="DD"/>
    <n v="25"/>
    <n v="93"/>
    <n v="162.5"/>
    <n v="13"/>
    <n v="284.375"/>
    <m/>
  </r>
  <r>
    <x v="50"/>
    <x v="47"/>
    <n v="3624.32"/>
    <n v="76"/>
    <m/>
    <n v="2166"/>
    <n v="241.68"/>
    <n v="0"/>
    <n v="3866"/>
    <n v="308.01"/>
    <n v="4174.01"/>
    <s v="DD"/>
    <n v="28.5"/>
    <n v="76"/>
    <n v="0"/>
    <n v="0"/>
    <n v="0"/>
    <m/>
  </r>
  <r>
    <x v="99"/>
    <x v="47"/>
    <n v="1033.07"/>
    <n v="24"/>
    <m/>
    <n v="1140"/>
    <n v="106.93"/>
    <n v="0"/>
    <n v="1140"/>
    <n v="162.12"/>
    <n v="1302.1199999999999"/>
    <s v="DD"/>
    <n v="47.5"/>
    <n v="24"/>
    <n v="0"/>
    <n v="0"/>
    <n v="0"/>
    <m/>
  </r>
  <r>
    <x v="16"/>
    <x v="47"/>
    <n v="500"/>
    <n v="19.36"/>
    <m/>
    <n v="551.76"/>
    <n v="51.76"/>
    <n v="0"/>
    <n v="551.76"/>
    <n v="78.28"/>
    <n v="630.04"/>
    <s v="DD"/>
    <e v="#DIV/0!"/>
    <m/>
    <e v="#DIV/0!"/>
    <e v="#VALUE!"/>
    <e v="#DIV/0!"/>
    <m/>
  </r>
  <r>
    <x v="16"/>
    <x v="47"/>
    <n v="700.11"/>
    <n v="27.11"/>
    <m/>
    <n v="772.58"/>
    <n v="72.47"/>
    <n v="0"/>
    <n v="772.58"/>
    <n v="109.61"/>
    <n v="882.19"/>
    <s v="DD"/>
    <e v="#DIV/0!"/>
    <m/>
    <e v="#DIV/0!"/>
    <e v="#VALUE!"/>
    <e v="#DIV/0!"/>
    <m/>
  </r>
  <r>
    <x v="16"/>
    <x v="47"/>
    <n v="1033.07"/>
    <n v="40.5"/>
    <m/>
    <n v="1140"/>
    <n v="106.93"/>
    <n v="0"/>
    <n v="1140"/>
    <n v="161.72999999999999"/>
    <n v="1301.73"/>
    <s v="DD"/>
    <e v="#DIV/0!"/>
    <m/>
    <e v="#DIV/0!"/>
    <e v="#VALUE!"/>
    <e v="#DIV/0!"/>
    <m/>
  </r>
  <r>
    <x v="101"/>
    <x v="47"/>
    <n v="1855.39"/>
    <n v="73"/>
    <m/>
    <n v="2080.5"/>
    <n v="225.11"/>
    <n v="0"/>
    <n v="2080.5"/>
    <n v="295.16000000000003"/>
    <n v="2375.66"/>
    <s v="DD"/>
    <n v="28.5"/>
    <n v="73"/>
    <n v="7.125"/>
    <n v="0.36"/>
    <n v="12.46875"/>
    <m/>
  </r>
  <r>
    <x v="77"/>
    <x v="47"/>
    <m/>
    <n v="81"/>
    <m/>
    <n v="2622"/>
    <m/>
    <m/>
    <m/>
    <m/>
    <m/>
    <m/>
    <n v="24.61"/>
    <n v="81"/>
    <n v="2005.7149999999999"/>
    <n v="80.23"/>
    <n v="3510.0012499999998"/>
    <m/>
  </r>
  <r>
    <x v="80"/>
    <x v="47"/>
    <m/>
    <n v="96.5"/>
    <m/>
    <m/>
    <m/>
    <m/>
    <m/>
    <m/>
    <m/>
    <m/>
    <n v="24.61"/>
    <n v="96.5"/>
    <n v="2577.8975"/>
    <n v="103.12"/>
    <n v="4511.3206250000003"/>
    <m/>
  </r>
  <r>
    <x v="78"/>
    <x v="47"/>
    <m/>
    <n v="106.5"/>
    <m/>
    <m/>
    <m/>
    <m/>
    <m/>
    <m/>
    <m/>
    <m/>
    <n v="24.61"/>
    <n v="106.5"/>
    <n v="2947.0474999999997"/>
    <n v="117.88"/>
    <n v="5157.3331249999992"/>
    <m/>
  </r>
  <r>
    <x v="16"/>
    <x v="48"/>
    <n v="819"/>
    <n v="45"/>
    <n v="96.23"/>
    <n v="819"/>
    <n v="96.23"/>
    <n v="0"/>
    <n v="915.23"/>
    <n v="180.81"/>
    <n v="1096.04"/>
    <n v="100183"/>
    <e v="#DIV/0!"/>
    <m/>
    <e v="#DIV/0!"/>
    <e v="#VALUE!"/>
    <e v="#DIV/0!"/>
    <n v="409.55"/>
  </r>
  <r>
    <x v="16"/>
    <x v="48"/>
    <n v="1098"/>
    <n v="50"/>
    <n v="123.07"/>
    <n v="1098"/>
    <n v="123.07"/>
    <n v="0"/>
    <n v="1221.07"/>
    <n v="221.11"/>
    <n v="1442.18"/>
    <n v="100184"/>
    <e v="#DIV/0!"/>
    <m/>
    <e v="#DIV/0!"/>
    <e v="#VALUE!"/>
    <e v="#DIV/0!"/>
    <m/>
  </r>
  <r>
    <x v="37"/>
    <x v="48"/>
    <n v="2962"/>
    <n v="80"/>
    <n v="618.6"/>
    <n v="3402"/>
    <n v="618.16"/>
    <n v="440"/>
    <n v="4020.16"/>
    <n v="558.12"/>
    <n v="4578.28"/>
    <s v="DD"/>
    <n v="26.278431372549019"/>
    <n v="153"/>
    <n v="959.16274509803918"/>
    <n v="124.69"/>
    <n v="1678.5348039215685"/>
    <n v="546.07000000000005"/>
  </r>
  <r>
    <x v="38"/>
    <x v="48"/>
    <n v="2835"/>
    <n v="80"/>
    <n v="477.27"/>
    <n v="2835"/>
    <n v="477.27"/>
    <n v="0"/>
    <n v="3312.27"/>
    <n v="473.31"/>
    <n v="3785.58"/>
    <s v="DD"/>
    <n v="21.030285714285714"/>
    <n v="157.5"/>
    <n v="814.92357142857145"/>
    <n v="105.94"/>
    <n v="1426.11625"/>
    <m/>
  </r>
  <r>
    <x v="39"/>
    <x v="48"/>
    <n v="1944"/>
    <n v="80"/>
    <n v="262.98"/>
    <n v="1944"/>
    <n v="262.98"/>
    <n v="0"/>
    <n v="2206.98"/>
    <n v="365.56"/>
    <n v="2572.54"/>
    <s v="DD"/>
    <n v="20.434999999999999"/>
    <n v="108"/>
    <n v="286.08999999999997"/>
    <n v="34.33"/>
    <n v="500.65749999999997"/>
    <m/>
  </r>
  <r>
    <x v="40"/>
    <x v="48"/>
    <n v="2322"/>
    <n v="80"/>
    <n v="349.8"/>
    <n v="2322"/>
    <n v="349.8"/>
    <n v="0"/>
    <n v="2671.8"/>
    <n v="408.76"/>
    <n v="3080.56"/>
    <s v="DD"/>
    <n v="20.711627906976744"/>
    <n v="129"/>
    <n v="507.43488372093026"/>
    <n v="60.89"/>
    <n v="888.01104651162791"/>
    <m/>
  </r>
  <r>
    <x v="41"/>
    <x v="48"/>
    <n v="2025"/>
    <n v="80"/>
    <n v="280.64999999999998"/>
    <n v="2025"/>
    <n v="280.64999999999998"/>
    <n v="0"/>
    <n v="2305.65"/>
    <n v="374.73"/>
    <n v="2680.38"/>
    <s v="DD"/>
    <n v="20.494666666666667"/>
    <n v="112.5"/>
    <n v="333.03833333333336"/>
    <n v="36.630000000000003"/>
    <n v="582.81708333333336"/>
    <m/>
  </r>
  <r>
    <x v="42"/>
    <x v="48"/>
    <n v="1880"/>
    <n v="64.5"/>
    <n v="249.04"/>
    <n v="1880"/>
    <n v="249.04"/>
    <n v="0"/>
    <n v="2129.04"/>
    <n v="358.33"/>
    <n v="2487.37"/>
    <s v="DD"/>
    <n v="22.64936170212766"/>
    <n v="94"/>
    <n v="277.45468085106381"/>
    <n v="30.52"/>
    <n v="485.54569148936167"/>
    <m/>
  </r>
  <r>
    <x v="43"/>
    <x v="48"/>
    <n v="2110"/>
    <n v="80"/>
    <n v="299.2"/>
    <n v="2110"/>
    <n v="299.2"/>
    <n v="0"/>
    <n v="2409.1999999999998"/>
    <n v="384.36"/>
    <n v="2793.56"/>
    <s v="DD"/>
    <n v="22.728301886792451"/>
    <n v="106"/>
    <n v="295.46792452830186"/>
    <n v="29.55"/>
    <n v="517.06886792452826"/>
    <m/>
  </r>
  <r>
    <x v="44"/>
    <x v="48"/>
    <n v="1750"/>
    <n v="50"/>
    <n v="216.47"/>
    <n v="1750"/>
    <n v="216.47"/>
    <n v="0"/>
    <n v="1966.47"/>
    <n v="355.02"/>
    <n v="2321.4899999999998"/>
    <s v="DD"/>
    <n v="22.473942857142859"/>
    <n v="87.5"/>
    <n v="112.36971428571429"/>
    <n v="11.24"/>
    <n v="196.64700000000002"/>
    <m/>
  </r>
  <r>
    <x v="45"/>
    <x v="48"/>
    <n v="1730"/>
    <n v="80"/>
    <m/>
    <n v="1730"/>
    <n v="179.22"/>
    <n v="0"/>
    <n v="1909.22"/>
    <n v="331.64"/>
    <n v="2240.86"/>
    <s v="DD"/>
    <n v="20"/>
    <n v="86.5"/>
    <n v="65"/>
    <n v="5.85"/>
    <n v="113.75"/>
    <m/>
  </r>
  <r>
    <x v="46"/>
    <x v="48"/>
    <n v="2100"/>
    <n v="80"/>
    <m/>
    <n v="2100"/>
    <n v="240.37"/>
    <n v="0"/>
    <n v="2340.37"/>
    <n v="368.23"/>
    <n v="2708.6"/>
    <s v="DD"/>
    <n v="20"/>
    <n v="105"/>
    <n v="250"/>
    <n v="22.5"/>
    <n v="437.5"/>
    <m/>
  </r>
  <r>
    <x v="47"/>
    <x v="48"/>
    <n v="1940"/>
    <n v="60"/>
    <m/>
    <n v="1940"/>
    <n v="202.91"/>
    <n v="0"/>
    <n v="2142.91"/>
    <n v="299.87"/>
    <n v="2442.7800000000002"/>
    <s v="DD"/>
    <n v="20"/>
    <n v="97"/>
    <n v="200"/>
    <n v="16"/>
    <n v="350"/>
    <m/>
  </r>
  <r>
    <x v="48"/>
    <x v="48"/>
    <n v="1880"/>
    <n v="80"/>
    <m/>
    <n v="1880"/>
    <n v="192.17"/>
    <n v="0"/>
    <n v="2072.17"/>
    <n v="287.08"/>
    <n v="2359.25"/>
    <s v="DD"/>
    <n v="20"/>
    <n v="94"/>
    <n v="140"/>
    <n v="11.2"/>
    <n v="245"/>
    <m/>
  </r>
  <r>
    <x v="49"/>
    <x v="48"/>
    <n v="1870"/>
    <n v="80"/>
    <m/>
    <n v="1870"/>
    <n v="190.37"/>
    <n v="0"/>
    <n v="2060.37"/>
    <n v="286.13"/>
    <n v="2346.5"/>
    <s v="DD"/>
    <n v="20"/>
    <n v="93.5"/>
    <n v="135"/>
    <n v="10.8"/>
    <n v="236.25"/>
    <m/>
  </r>
  <r>
    <x v="50"/>
    <x v="48"/>
    <n v="1785.86"/>
    <n v="86"/>
    <m/>
    <n v="2002.5"/>
    <n v="216.64"/>
    <n v="0"/>
    <n v="2002.5"/>
    <n v="306.89"/>
    <n v="2309.39"/>
    <s v="DD"/>
    <n v="23.284883720930232"/>
    <n v="86"/>
    <n v="0"/>
    <n v="0"/>
    <n v="0"/>
    <m/>
  </r>
  <r>
    <x v="99"/>
    <x v="48"/>
    <n v="812.03"/>
    <n v="24"/>
    <m/>
    <n v="900"/>
    <n v="87.97"/>
    <n v="0"/>
    <n v="900"/>
    <n v="139.82"/>
    <n v="1039.82"/>
    <s v="DD"/>
    <n v="37.5"/>
    <n v="24"/>
    <n v="0"/>
    <n v="0"/>
    <n v="0"/>
    <m/>
  </r>
  <r>
    <x v="16"/>
    <x v="48"/>
    <n v="500.01"/>
    <n v="24.63"/>
    <m/>
    <n v="554.17999999999995"/>
    <n v="54.17"/>
    <n v="0"/>
    <n v="554.17999999999995"/>
    <n v="88.1"/>
    <n v="642.28"/>
    <s v="DD"/>
    <e v="#DIV/0!"/>
    <m/>
    <e v="#DIV/0!"/>
    <e v="#VALUE!"/>
    <e v="#DIV/0!"/>
    <m/>
  </r>
  <r>
    <x v="16"/>
    <x v="48"/>
    <n v="700.4"/>
    <n v="34.5"/>
    <m/>
    <n v="776.25"/>
    <n v="75.849999999999994"/>
    <n v="0"/>
    <n v="776.25"/>
    <n v="123.38"/>
    <n v="899.63"/>
    <s v="DD"/>
    <e v="#DIV/0!"/>
    <m/>
    <e v="#DIV/0!"/>
    <e v="#VALUE!"/>
    <e v="#DIV/0!"/>
    <m/>
  </r>
  <r>
    <x v="16"/>
    <x v="48"/>
    <n v="300"/>
    <n v="14.78"/>
    <m/>
    <n v="332.5"/>
    <n v="32.5"/>
    <n v="0"/>
    <n v="332.5"/>
    <n v="52.86"/>
    <n v="385.36"/>
    <s v="DD"/>
    <e v="#DIV/0!"/>
    <m/>
    <e v="#DIV/0!"/>
    <e v="#VALUE!"/>
    <e v="#DIV/0!"/>
    <m/>
  </r>
  <r>
    <x v="101"/>
    <x v="48"/>
    <n v="649.63"/>
    <n v="32.5"/>
    <m/>
    <n v="720"/>
    <n v="70.37"/>
    <n v="0"/>
    <n v="720"/>
    <n v="114.46"/>
    <n v="834.46"/>
    <s v="DD"/>
    <n v="22.153846153846153"/>
    <n v="32.5"/>
    <n v="0"/>
    <n v="0"/>
    <n v="0"/>
    <m/>
  </r>
  <r>
    <x v="77"/>
    <x v="48"/>
    <m/>
    <n v="71"/>
    <m/>
    <n v="1597"/>
    <m/>
    <m/>
    <m/>
    <m/>
    <m/>
    <m/>
    <n v="22.48"/>
    <n v="71"/>
    <n v="1663.52"/>
    <n v="66.540000000000006"/>
    <n v="2911.16"/>
    <m/>
  </r>
  <r>
    <x v="80"/>
    <x v="48"/>
    <m/>
    <n v="84.5"/>
    <m/>
    <m/>
    <m/>
    <m/>
    <m/>
    <m/>
    <m/>
    <m/>
    <n v="22.48"/>
    <n v="84.5"/>
    <n v="1950.14"/>
    <n v="78.010000000000005"/>
    <n v="3412.7450000000003"/>
    <m/>
  </r>
  <r>
    <x v="78"/>
    <x v="48"/>
    <m/>
    <n v="37.5"/>
    <m/>
    <m/>
    <m/>
    <m/>
    <m/>
    <m/>
    <m/>
    <m/>
    <n v="22.48"/>
    <n v="37.5"/>
    <n v="843"/>
    <n v="33.72"/>
    <n v="1475.25"/>
    <m/>
  </r>
  <r>
    <x v="48"/>
    <x v="49"/>
    <n v="1665"/>
    <n v="80"/>
    <m/>
    <n v="1665"/>
    <n v="165.25"/>
    <n v="0"/>
    <n v="1830.25"/>
    <n v="277.08"/>
    <n v="2107.33"/>
    <n v="100197"/>
    <n v="18"/>
    <n v="92.5"/>
    <n v="112.5"/>
    <n v="9"/>
    <n v="196.875"/>
    <n v="546.07000000000005"/>
  </r>
  <r>
    <x v="49"/>
    <x v="49"/>
    <n v="1656"/>
    <n v="64"/>
    <m/>
    <n v="1656"/>
    <n v="164.54"/>
    <n v="0"/>
    <n v="1820.54"/>
    <n v="276.2"/>
    <n v="2096.7399999999998"/>
    <n v="100201"/>
    <n v="25.875"/>
    <n v="64"/>
    <n v="0"/>
    <n v="0"/>
    <n v="0"/>
    <m/>
  </r>
  <r>
    <x v="50"/>
    <x v="49"/>
    <n v="1616.21"/>
    <n v="85"/>
    <m/>
    <n v="1793.75"/>
    <n v="177.54"/>
    <n v="0"/>
    <n v="1793.75"/>
    <n v="296.83999999999997"/>
    <n v="2090.59"/>
    <n v="100204"/>
    <n v="21.102941176470587"/>
    <n v="85"/>
    <n v="0"/>
    <n v="0"/>
    <n v="0"/>
    <m/>
  </r>
  <r>
    <x v="16"/>
    <x v="49"/>
    <n v="738.36"/>
    <n v="40"/>
    <m/>
    <n v="820"/>
    <n v="81.64"/>
    <n v="0"/>
    <n v="820"/>
    <n v="137.30000000000001"/>
    <n v="957.3"/>
    <n v="100207"/>
    <e v="#DIV/0!"/>
    <m/>
    <e v="#DIV/0!"/>
    <e v="#VALUE!"/>
    <e v="#DIV/0!"/>
    <m/>
  </r>
  <r>
    <x v="16"/>
    <x v="49"/>
    <n v="500.04"/>
    <n v="27.09"/>
    <m/>
    <n v="555.35"/>
    <n v="55.31"/>
    <n v="0"/>
    <n v="555.35"/>
    <n v="96.03"/>
    <n v="651.38"/>
    <n v="100210"/>
    <e v="#DIV/0!"/>
    <m/>
    <e v="#DIV/0!"/>
    <e v="#VALUE!"/>
    <e v="#DIV/0!"/>
    <m/>
  </r>
  <r>
    <x v="16"/>
    <x v="49"/>
    <n v="700.06"/>
    <n v="37.92"/>
    <m/>
    <n v="777.46"/>
    <n v="77.400000000000006"/>
    <n v="0"/>
    <n v="777.46"/>
    <n v="132.78"/>
    <n v="910.24"/>
    <n v="100214"/>
    <e v="#DIV/0!"/>
    <m/>
    <e v="#DIV/0!"/>
    <e v="#VALUE!"/>
    <e v="#DIV/0!"/>
    <m/>
  </r>
  <r>
    <x v="100"/>
    <x v="49"/>
    <n v="1476.72"/>
    <n v="80"/>
    <m/>
    <n v="1640"/>
    <n v="163.28"/>
    <n v="0"/>
    <n v="1640"/>
    <n v="273.68"/>
    <n v="1913.68"/>
    <n v="100217"/>
    <n v="20.5"/>
    <n v="80"/>
    <n v="0"/>
    <n v="0"/>
    <n v="0"/>
    <m/>
  </r>
  <r>
    <x v="101"/>
    <x v="49"/>
    <n v="2114.66"/>
    <n v="96"/>
    <m/>
    <n v="2340"/>
    <n v="225.34"/>
    <n v="0"/>
    <n v="2340"/>
    <n v="357.36"/>
    <n v="2697.36"/>
    <n v="100220"/>
    <n v="24.248704663212436"/>
    <n v="96.5"/>
    <n v="6.062176165803109"/>
    <n v="0.3"/>
    <n v="10.608808290155441"/>
    <m/>
  </r>
  <r>
    <x v="77"/>
    <x v="49"/>
    <n v="2133.4499999999998"/>
    <n v="52"/>
    <m/>
    <n v="2626.88"/>
    <m/>
    <m/>
    <m/>
    <m/>
    <m/>
    <m/>
    <n v="21.95"/>
    <n v="52"/>
    <n v="1273.0999999999999"/>
    <n v="50.92"/>
    <n v="2227.9249999999997"/>
    <m/>
  </r>
  <r>
    <x v="80"/>
    <x v="49"/>
    <m/>
    <n v="97.5"/>
    <m/>
    <m/>
    <m/>
    <m/>
    <m/>
    <m/>
    <m/>
    <m/>
    <n v="21.95"/>
    <n v="97.5"/>
    <n v="2332.1875"/>
    <n v="93.29"/>
    <n v="4081.328125"/>
    <m/>
  </r>
  <r>
    <x v="78"/>
    <x v="49"/>
    <m/>
    <n v="74"/>
    <m/>
    <m/>
    <m/>
    <m/>
    <m/>
    <m/>
    <m/>
    <m/>
    <n v="21.95"/>
    <n v="74"/>
    <n v="1624.3"/>
    <n v="64.97"/>
    <n v="2842.5250000000001"/>
    <m/>
  </r>
  <r>
    <x v="47"/>
    <x v="50"/>
    <n v="612"/>
    <n v="34"/>
    <m/>
    <n v="612"/>
    <n v="76.180000000000007"/>
    <n v="0"/>
    <n v="688.18"/>
    <n v="108.29"/>
    <n v="796.47"/>
    <n v="100195"/>
    <n v="18"/>
    <n v="34"/>
    <n v="0"/>
    <n v="0"/>
    <n v="0"/>
    <n v="546.07000000000005"/>
  </r>
  <r>
    <x v="48"/>
    <x v="50"/>
    <n v="1669"/>
    <n v="80"/>
    <m/>
    <n v="1719"/>
    <n v="310.98"/>
    <n v="50"/>
    <n v="2029.98"/>
    <n v="282.44"/>
    <n v="2312.42"/>
    <n v="100198"/>
    <n v="18"/>
    <n v="95.5"/>
    <n v="139.5"/>
    <n v="11.16"/>
    <n v="244.125"/>
    <m/>
  </r>
  <r>
    <x v="49"/>
    <x v="50"/>
    <n v="1651"/>
    <n v="80"/>
    <m/>
    <n v="1701"/>
    <n v="307.38"/>
    <n v="50"/>
    <n v="2008.38"/>
    <n v="280.64"/>
    <n v="2289.02"/>
    <s v="DD"/>
    <n v="18"/>
    <n v="94.5"/>
    <n v="130.5"/>
    <n v="10.44"/>
    <n v="228.375"/>
    <m/>
  </r>
  <r>
    <x v="50"/>
    <x v="50"/>
    <n v="1406.57"/>
    <n v="45"/>
    <m/>
    <n v="1763"/>
    <n v="321.43"/>
    <n v="35"/>
    <n v="1763"/>
    <n v="292.41000000000003"/>
    <n v="2055.41"/>
    <s v="DD"/>
    <n v="20.988095238095237"/>
    <n v="84"/>
    <n v="10.494047619047619"/>
    <n v="0.73"/>
    <n v="18.364583333333332"/>
    <m/>
  </r>
  <r>
    <x v="99"/>
    <x v="50"/>
    <n v="738.36"/>
    <n v="24"/>
    <m/>
    <n v="820"/>
    <n v="81.64"/>
    <n v="0"/>
    <n v="820"/>
    <n v="137.30000000000001"/>
    <n v="957.3"/>
    <s v="DD"/>
    <n v="34.166666666666664"/>
    <n v="24"/>
    <n v="0"/>
    <n v="0"/>
    <n v="0"/>
    <m/>
  </r>
  <r>
    <x v="16"/>
    <x v="50"/>
    <n v="500.06"/>
    <n v="27.09"/>
    <m/>
    <n v="555.35"/>
    <n v="55.29"/>
    <n v="0"/>
    <n v="555.35"/>
    <n v="94.99"/>
    <n v="650.34"/>
    <s v="DD"/>
    <e v="#DIV/0!"/>
    <m/>
    <e v="#DIV/0!"/>
    <e v="#VALUE!"/>
    <e v="#DIV/0!"/>
    <m/>
  </r>
  <r>
    <x v="16"/>
    <x v="50"/>
    <n v="700.06"/>
    <n v="37.92"/>
    <m/>
    <n v="777.46"/>
    <n v="77.400000000000006"/>
    <n v="0"/>
    <n v="777.46"/>
    <n v="129.72"/>
    <n v="907.18"/>
    <s v="DD"/>
    <e v="#DIV/0!"/>
    <m/>
    <e v="#DIV/0!"/>
    <e v="#VALUE!"/>
    <e v="#DIV/0!"/>
    <m/>
  </r>
  <r>
    <x v="100"/>
    <x v="50"/>
    <n v="738.36"/>
    <n v="40"/>
    <m/>
    <n v="820"/>
    <n v="81.64"/>
    <n v="0"/>
    <n v="820"/>
    <n v="136.84"/>
    <n v="956.84"/>
    <s v="DD"/>
    <n v="20.5"/>
    <n v="40"/>
    <n v="0"/>
    <n v="0"/>
    <n v="0"/>
    <m/>
  </r>
  <r>
    <x v="101"/>
    <x v="50"/>
    <n v="1471.8"/>
    <n v="72"/>
    <m/>
    <n v="1631.25"/>
    <n v="159.44999999999999"/>
    <n v="0"/>
    <n v="1631.25"/>
    <n v="259.31"/>
    <n v="1890.56"/>
    <s v="DD"/>
    <n v="22.65625"/>
    <n v="72"/>
    <n v="0"/>
    <n v="0"/>
    <n v="0"/>
    <m/>
  </r>
  <r>
    <x v="77"/>
    <x v="50"/>
    <m/>
    <n v="80"/>
    <m/>
    <n v="2036.25"/>
    <m/>
    <m/>
    <m/>
    <m/>
    <m/>
    <m/>
    <n v="21.76"/>
    <n v="80"/>
    <n v="1740.8000000000002"/>
    <n v="69.63"/>
    <n v="3046.4000000000005"/>
    <m/>
  </r>
  <r>
    <x v="80"/>
    <x v="50"/>
    <m/>
    <n v="94"/>
    <m/>
    <m/>
    <m/>
    <m/>
    <m/>
    <m/>
    <m/>
    <m/>
    <n v="21.76"/>
    <n v="94"/>
    <n v="2197.7600000000002"/>
    <n v="87.91"/>
    <n v="3846.0800000000004"/>
    <m/>
  </r>
  <r>
    <x v="78"/>
    <x v="50"/>
    <m/>
    <n v="106.5"/>
    <m/>
    <m/>
    <m/>
    <m/>
    <m/>
    <m/>
    <m/>
    <m/>
    <n v="21.76"/>
    <n v="106.5"/>
    <n v="2605.7600000000002"/>
    <n v="104.23"/>
    <n v="4560.08"/>
    <m/>
  </r>
  <r>
    <x v="37"/>
    <x v="51"/>
    <n v="1079"/>
    <n v="55.5"/>
    <n v="190.38"/>
    <n v="1611"/>
    <n v="190.38"/>
    <n v="532"/>
    <n v="1801.38"/>
    <n v="338.7"/>
    <n v="2140.08"/>
    <s v="DD"/>
    <n v="20.127150837988829"/>
    <n v="89.5"/>
    <n v="155.98541899441344"/>
    <n v="20.28"/>
    <n v="272.97448324022349"/>
    <n v="546.07000000000005"/>
  </r>
  <r>
    <x v="38"/>
    <x v="51"/>
    <n v="1676"/>
    <n v="80"/>
    <n v="278.69"/>
    <n v="2016"/>
    <n v="278.69"/>
    <n v="340"/>
    <n v="2294.69"/>
    <n v="387.48"/>
    <n v="2682.17"/>
    <s v="DD"/>
    <n v="20.766425339366517"/>
    <n v="110.5"/>
    <n v="316.68798642533937"/>
    <n v="41.17"/>
    <n v="554.20397624434395"/>
    <m/>
  </r>
  <r>
    <x v="39"/>
    <x v="51"/>
    <n v="1328"/>
    <n v="80"/>
    <n v="215.89"/>
    <n v="1728"/>
    <n v="215.89"/>
    <n v="400"/>
    <n v="1943.89"/>
    <n v="352.79"/>
    <n v="2296.6799999999998"/>
    <s v="DD"/>
    <n v="20.248854166666664"/>
    <n v="96"/>
    <n v="161.99083333333331"/>
    <n v="19.440000000000001"/>
    <n v="283.48395833333331"/>
    <m/>
  </r>
  <r>
    <x v="40"/>
    <x v="51"/>
    <n v="2191"/>
    <n v="80"/>
    <n v="309.66000000000003"/>
    <n v="2261"/>
    <n v="329.66"/>
    <n v="50"/>
    <n v="2570.66"/>
    <n v="405.11"/>
    <n v="2975.77"/>
    <s v="DD"/>
    <n v="20.647871485943774"/>
    <n v="124.5"/>
    <n v="459.41514056224901"/>
    <n v="55.13"/>
    <n v="803.97649598393582"/>
    <m/>
  </r>
  <r>
    <x v="41"/>
    <x v="51"/>
    <n v="1600"/>
    <n v="80"/>
    <n v="275.20999999999998"/>
    <n v="2000"/>
    <n v="275.20999999999998"/>
    <n v="400"/>
    <n v="2275.21"/>
    <n v="371.91"/>
    <n v="2647.12"/>
    <s v="DD"/>
    <n v="22.752099999999999"/>
    <n v="100"/>
    <n v="227.52099999999999"/>
    <n v="25.03"/>
    <n v="398.16174999999998"/>
    <m/>
  </r>
  <r>
    <x v="42"/>
    <x v="51"/>
    <n v="1490"/>
    <n v="49.5"/>
    <n v="176.57"/>
    <n v="1520"/>
    <n v="176.57"/>
    <n v="30"/>
    <n v="1696.57"/>
    <n v="318.14999999999998"/>
    <n v="2014.72"/>
    <s v="DD"/>
    <n v="22.323289473684209"/>
    <n v="76"/>
    <n v="106.035625"/>
    <n v="11.66"/>
    <n v="185.56234375"/>
    <m/>
  </r>
  <r>
    <x v="43"/>
    <x v="51"/>
    <n v="1940"/>
    <n v="80"/>
    <n v="273.04000000000002"/>
    <n v="1990"/>
    <n v="273.04000000000002"/>
    <n v="50"/>
    <n v="2263.04"/>
    <n v="370.78"/>
    <n v="2633.82"/>
    <s v="DD"/>
    <n v="22.744120603015077"/>
    <n v="99.5"/>
    <n v="221.755175879397"/>
    <n v="22.18"/>
    <n v="388.07155778894474"/>
    <m/>
  </r>
  <r>
    <x v="44"/>
    <x v="51"/>
    <n v="2470"/>
    <n v="50"/>
    <n v="381.04"/>
    <n v="2470"/>
    <n v="381.04"/>
    <n v="0"/>
    <n v="2851.04"/>
    <n v="442.51"/>
    <n v="3293.55"/>
    <s v="DD"/>
    <n v="32.215141242937854"/>
    <n v="88.5"/>
    <n v="161.07570621468926"/>
    <n v="16.11"/>
    <n v="281.88248587570621"/>
    <m/>
  </r>
  <r>
    <x v="45"/>
    <x v="51"/>
    <n v="1850"/>
    <n v="52"/>
    <m/>
    <n v="1950"/>
    <n v="213.52"/>
    <n v="100"/>
    <n v="2163.52"/>
    <n v="353.4"/>
    <n v="2516.92"/>
    <s v="DD"/>
    <n v="21.787709497206706"/>
    <n v="89.5"/>
    <n v="130.72625698324023"/>
    <n v="11.77"/>
    <n v="228.77094972067042"/>
    <m/>
  </r>
  <r>
    <x v="46"/>
    <x v="51"/>
    <n v="1990"/>
    <n v="80"/>
    <m/>
    <n v="2040"/>
    <n v="229.63"/>
    <n v="50"/>
    <n v="2269.63"/>
    <n v="362.29"/>
    <n v="2631.92"/>
    <s v="DD"/>
    <n v="20"/>
    <n v="102"/>
    <n v="220"/>
    <n v="19.8"/>
    <n v="385"/>
    <m/>
  </r>
  <r>
    <x v="47"/>
    <x v="51"/>
    <n v="2106"/>
    <n v="43.5"/>
    <m/>
    <n v="2156"/>
    <n v="241.58"/>
    <n v="50"/>
    <n v="2397.58"/>
    <n v="313.67"/>
    <n v="2711.25"/>
    <s v="DD"/>
    <n v="29.944444444444443"/>
    <n v="72"/>
    <n v="52.402777777777771"/>
    <n v="4.1900000000000004"/>
    <n v="91.7048611111111"/>
    <m/>
  </r>
  <r>
    <x v="16"/>
    <x v="51"/>
    <n v="2847"/>
    <n v="80"/>
    <m/>
    <n v="2697"/>
    <n v="341.56"/>
    <n v="0"/>
    <n v="3188.56"/>
    <n v="362.96"/>
    <n v="3551.52"/>
    <s v="DD"/>
    <e v="#DIV/0!"/>
    <m/>
    <e v="#DIV/0!"/>
    <e v="#VALUE!"/>
    <e v="#DIV/0!"/>
    <m/>
  </r>
  <r>
    <x v="16"/>
    <x v="51"/>
    <n v="2636"/>
    <n v="80"/>
    <m/>
    <n v="2486"/>
    <n v="300.66000000000003"/>
    <n v="0"/>
    <n v="2936.66"/>
    <n v="343.38"/>
    <n v="3280.04"/>
    <s v="DD"/>
    <e v="#DIV/0!"/>
    <m/>
    <e v="#DIV/0!"/>
    <e v="#VALUE!"/>
    <e v="#DIV/0!"/>
    <m/>
  </r>
  <r>
    <x v="16"/>
    <x v="51"/>
    <n v="2648"/>
    <n v="80"/>
    <m/>
    <n v="2875"/>
    <n v="377"/>
    <n v="0"/>
    <n v="3025"/>
    <n v="379.5"/>
    <n v="3404.5"/>
    <s v="DD"/>
    <e v="#DIV/0!"/>
    <m/>
    <e v="#DIV/0!"/>
    <e v="#VALUE!"/>
    <e v="#DIV/0!"/>
    <m/>
  </r>
  <r>
    <x v="16"/>
    <x v="51"/>
    <n v="904.13"/>
    <n v="40"/>
    <m/>
    <n v="1000"/>
    <n v="95.87"/>
    <n v="0"/>
    <n v="1000"/>
    <n v="149.11000000000001"/>
    <n v="1149.1099999999999"/>
    <s v="DD"/>
    <e v="#DIV/0!"/>
    <m/>
    <e v="#DIV/0!"/>
    <e v="#VALUE!"/>
    <e v="#DIV/0!"/>
    <m/>
  </r>
  <r>
    <x v="16"/>
    <x v="51"/>
    <n v="500.22"/>
    <n v="22.13"/>
    <m/>
    <n v="553.25"/>
    <n v="53.03"/>
    <n v="0"/>
    <n v="553.25"/>
    <n v="83.45"/>
    <n v="636.70000000000005"/>
    <s v="DD"/>
    <e v="#DIV/0!"/>
    <m/>
    <e v="#DIV/0!"/>
    <e v="#VALUE!"/>
    <e v="#DIV/0!"/>
    <m/>
  </r>
  <r>
    <x v="16"/>
    <x v="51"/>
    <n v="2954.7"/>
    <n v="80"/>
    <n v="387.5"/>
    <n v="2875"/>
    <n v="487.8"/>
    <n v="0"/>
    <n v="3442.5"/>
    <n v="546.02"/>
    <n v="3988.52"/>
    <s v="DD"/>
    <e v="#DIV/0!"/>
    <m/>
    <e v="#DIV/0!"/>
    <e v="#VALUE!"/>
    <e v="#DIV/0!"/>
    <m/>
  </r>
  <r>
    <x v="16"/>
    <x v="51"/>
    <n v="3330.78"/>
    <n v="112.5"/>
    <m/>
    <n v="3347.5"/>
    <n v="484.72"/>
    <n v="0"/>
    <n v="3815.5"/>
    <n v="465.86"/>
    <n v="4281.3599999999997"/>
    <s v="DD"/>
    <e v="#DIV/0!"/>
    <m/>
    <e v="#DIV/0!"/>
    <e v="#VALUE!"/>
    <e v="#DIV/0!"/>
    <m/>
  </r>
  <r>
    <x v="13"/>
    <x v="52"/>
    <n v="1000"/>
    <n v="40"/>
    <n v="128.05000000000001"/>
    <n v="1000"/>
    <n v="128.05000000000001"/>
    <n v="0"/>
    <n v="1128.05"/>
    <n v="193.76"/>
    <n v="1321.81"/>
    <n v="100107"/>
    <n v="28.201249999999998"/>
    <n v="40"/>
    <n v="0"/>
    <n v="0"/>
    <n v="0"/>
    <n v="546.07000000000005"/>
  </r>
  <r>
    <x v="14"/>
    <x v="52"/>
    <n v="846"/>
    <n v="80"/>
    <n v="452.6"/>
    <n v="2400"/>
    <n v="477.6"/>
    <n v="1529"/>
    <n v="2852.6"/>
    <n v="447.5"/>
    <n v="3300.1"/>
    <n v="100115"/>
    <n v="30.027368421052632"/>
    <n v="95"/>
    <n v="225.20526315789473"/>
    <n v="49.55"/>
    <n v="394.10921052631579"/>
    <m/>
  </r>
  <r>
    <x v="15"/>
    <x v="52"/>
    <n v="861"/>
    <n v="51"/>
    <n v="484.42"/>
    <n v="2000"/>
    <n v="409.42"/>
    <n v="1214"/>
    <n v="2484.42"/>
    <n v="410.47"/>
    <n v="2894.89"/>
    <n v="100121"/>
    <n v="29.93277108433735"/>
    <n v="83"/>
    <n v="164.63024096385541"/>
    <n v="36.22"/>
    <n v="288.10292168674698"/>
    <m/>
  </r>
  <r>
    <x v="16"/>
    <x v="52"/>
    <n v="1685"/>
    <n v="80"/>
    <n v="407.8"/>
    <n v="2000"/>
    <n v="232.8"/>
    <n v="490"/>
    <n v="2407.8000000000002"/>
    <n v="402.77"/>
    <n v="2810.57"/>
    <n v="100130"/>
    <e v="#DIV/0!"/>
    <n v="0"/>
    <e v="#DIV/0!"/>
    <e v="#VALUE!"/>
    <e v="#DIV/0!"/>
    <m/>
  </r>
  <r>
    <x v="17"/>
    <x v="52"/>
    <n v="2662"/>
    <n v="80"/>
    <n v="1217.3"/>
    <n v="2000"/>
    <n v="555.29999999999995"/>
    <n v="0"/>
    <n v="3217.3"/>
    <n v="477.54"/>
    <n v="3694.84"/>
    <n v="100139"/>
    <n v="30.209389671361503"/>
    <n v="106.5"/>
    <n v="400.27441314553994"/>
    <n v="84.06"/>
    <n v="700.48022300469484"/>
    <m/>
  </r>
  <r>
    <x v="16"/>
    <x v="52"/>
    <n v="2275"/>
    <n v="80"/>
    <n v="241.37"/>
    <n v="2275"/>
    <n v="241.37"/>
    <n v="0"/>
    <n v="2516.37"/>
    <n v="398.59"/>
    <n v="2914.96"/>
    <s v="DD"/>
    <e v="#DIV/0!"/>
    <m/>
    <e v="#DIV/0!"/>
    <e v="#VALUE!"/>
    <e v="#DIV/0!"/>
    <m/>
  </r>
  <r>
    <x v="16"/>
    <x v="52"/>
    <n v="2475"/>
    <n v="0"/>
    <n v="2475"/>
    <m/>
    <n v="455.76"/>
    <n v="0"/>
    <n v="2930.76"/>
    <n v="277.24"/>
    <n v="3208"/>
    <s v="DD"/>
    <e v="#DIV/0!"/>
    <m/>
    <e v="#DIV/0!"/>
    <e v="#VALUE!"/>
    <e v="#DIV/0!"/>
    <m/>
  </r>
  <r>
    <x v="16"/>
    <x v="52"/>
    <n v="2512"/>
    <n v="80"/>
    <n v="1030.03"/>
    <n v="2000"/>
    <n v="518.03"/>
    <n v="0"/>
    <n v="3030.03"/>
    <n v="447.19"/>
    <n v="3477.22"/>
    <s v="DD"/>
    <e v="#DIV/0!"/>
    <m/>
    <e v="#DIV/0!"/>
    <e v="#VALUE!"/>
    <e v="#DIV/0!"/>
    <m/>
  </r>
  <r>
    <x v="21"/>
    <x v="52"/>
    <n v="2000"/>
    <n v="36"/>
    <n v="390.79"/>
    <n v="2000"/>
    <n v="390.79"/>
    <n v="0"/>
    <n v="2390.79"/>
    <n v="386.71"/>
    <n v="2777.5"/>
    <s v="DD"/>
    <n v="66.410833333333329"/>
    <n v="36"/>
    <n v="0"/>
    <n v="0"/>
    <n v="0"/>
    <m/>
  </r>
  <r>
    <x v="22"/>
    <x v="52"/>
    <n v="2160"/>
    <n v="80"/>
    <n v="640.5"/>
    <n v="2000"/>
    <n v="440.5"/>
    <n v="40"/>
    <n v="2640.5"/>
    <n v="410.33"/>
    <n v="3050.83"/>
    <s v="DD"/>
    <n v="30.005681818181817"/>
    <n v="88"/>
    <n v="120.02272727272727"/>
    <n v="22.8"/>
    <n v="210.03977272727272"/>
    <m/>
  </r>
  <r>
    <x v="23"/>
    <x v="52"/>
    <n v="2190"/>
    <n v="80"/>
    <n v="640.5"/>
    <n v="2000"/>
    <n v="440.5"/>
    <n v="10"/>
    <n v="2640.5"/>
    <n v="405.85"/>
    <n v="3046.35"/>
    <s v="DD"/>
    <n v="30.005681818181817"/>
    <n v="88"/>
    <n v="120.02272727272727"/>
    <n v="21.6"/>
    <n v="210.03977272727272"/>
    <m/>
  </r>
  <r>
    <x v="24"/>
    <x v="52"/>
    <n v="2350"/>
    <n v="44"/>
    <n v="827.75"/>
    <n v="2000"/>
    <n v="477.75"/>
    <n v="0"/>
    <n v="2827.75"/>
    <n v="423.24"/>
    <n v="3250.99"/>
    <s v="DD"/>
    <n v="64.267045454545453"/>
    <n v="44"/>
    <n v="0"/>
    <n v="0"/>
    <n v="0"/>
    <m/>
  </r>
  <r>
    <x v="16"/>
    <x v="52"/>
    <n v="2675"/>
    <n v="80"/>
    <n v="1295.93"/>
    <n v="2000"/>
    <n v="570.92999999999995"/>
    <n v="50"/>
    <n v="3295.93"/>
    <n v="466.73"/>
    <n v="3762.66"/>
    <s v="DD"/>
    <e v="#DIV/0!"/>
    <m/>
    <e v="#DIV/0!"/>
    <e v="#VALUE!"/>
    <e v="#DIV/0!"/>
    <m/>
  </r>
  <r>
    <x v="16"/>
    <x v="52"/>
    <n v="2307"/>
    <n v="80"/>
    <n v="811.54"/>
    <n v="2000"/>
    <n v="474.54"/>
    <n v="30"/>
    <n v="2811.54"/>
    <n v="421.73"/>
    <n v="3233.27"/>
    <s v="DD"/>
    <e v="#DIV/0!"/>
    <m/>
    <e v="#DIV/0!"/>
    <e v="#VALUE!"/>
    <e v="#DIV/0!"/>
    <m/>
  </r>
  <r>
    <x v="29"/>
    <x v="52"/>
    <n v="2630"/>
    <n v="50"/>
    <n v="1081.3"/>
    <n v="2000"/>
    <n v="431.3"/>
    <n v="20"/>
    <n v="3081.3"/>
    <n v="446.8"/>
    <n v="3528.1"/>
    <s v="DD"/>
    <n v="53.125862068965517"/>
    <n v="58"/>
    <n v="265.62931034482756"/>
    <n v="42.5"/>
    <n v="464.85129310344826"/>
    <m/>
  </r>
  <r>
    <x v="30"/>
    <x v="52"/>
    <n v="2095"/>
    <n v="80"/>
    <n v="353.48"/>
    <n v="2000"/>
    <n v="228.48"/>
    <n v="30"/>
    <n v="2353.48"/>
    <n v="379.18"/>
    <n v="2732.66"/>
    <s v="DD"/>
    <n v="27.687999999999999"/>
    <n v="85"/>
    <n v="69.22"/>
    <n v="11.08"/>
    <n v="121.13499999999999"/>
    <m/>
  </r>
  <r>
    <x v="31"/>
    <x v="52"/>
    <n v="1860"/>
    <n v="45"/>
    <n v="258.85000000000002"/>
    <n v="1925"/>
    <n v="258.85000000000002"/>
    <n v="65"/>
    <n v="2183.85"/>
    <n v="363.41"/>
    <n v="2547.2600000000002"/>
    <s v="DD"/>
    <n v="28.361688311688312"/>
    <n v="77"/>
    <n v="70.904220779220779"/>
    <n v="10.64"/>
    <n v="124.08238636363636"/>
    <m/>
  </r>
  <r>
    <x v="32"/>
    <x v="52"/>
    <n v="2337"/>
    <n v="80"/>
    <n v="365.9"/>
    <n v="2387"/>
    <n v="365.94"/>
    <n v="49.96"/>
    <n v="2752.9"/>
    <n v="416.29"/>
    <n v="3169.19"/>
    <s v="DD"/>
    <n v="26.598067632850242"/>
    <n v="103.5"/>
    <n v="312.52729468599034"/>
    <n v="46.88"/>
    <n v="546.92276570048307"/>
    <m/>
  </r>
  <r>
    <x v="33"/>
    <x v="52"/>
    <n v="2212"/>
    <n v="80"/>
    <n v="384.88"/>
    <n v="2212"/>
    <n v="334.88"/>
    <n v="50"/>
    <n v="2596.88"/>
    <n v="401.79"/>
    <n v="2998.67"/>
    <s v="DD"/>
    <n v="28.694806629834254"/>
    <n v="90.5"/>
    <n v="150.64773480662984"/>
    <n v="22.6"/>
    <n v="263.63353591160222"/>
    <m/>
  </r>
  <r>
    <x v="34"/>
    <x v="52"/>
    <n v="2637"/>
    <n v="80"/>
    <n v="440.5"/>
    <n v="2687"/>
    <n v="440.5"/>
    <n v="50"/>
    <n v="3127.5"/>
    <n v="451.1"/>
    <n v="3578.6"/>
    <s v="DD"/>
    <n v="30.812807881773399"/>
    <n v="101.5"/>
    <n v="331.23768472906403"/>
    <n v="46.37"/>
    <n v="579.66594827586209"/>
    <m/>
  </r>
  <r>
    <x v="35"/>
    <x v="52"/>
    <n v="2512"/>
    <n v="80"/>
    <n v="397"/>
    <n v="2512"/>
    <n v="397"/>
    <n v="0"/>
    <n v="2909"/>
    <n v="391.42"/>
    <n v="3300.42"/>
    <s v="DD"/>
    <n v="28.660098522167488"/>
    <n v="101.5"/>
    <n v="308.0960591133005"/>
    <n v="43.13"/>
    <n v="539.16810344827582"/>
    <m/>
  </r>
  <r>
    <x v="37"/>
    <x v="52"/>
    <n v="2925"/>
    <n v="80"/>
    <n v="499.63"/>
    <n v="2925"/>
    <n v="499.63"/>
    <n v="0"/>
    <n v="3424.63"/>
    <n v="422.53"/>
    <n v="3847.16"/>
    <s v="DD"/>
    <n v="29.270341880341881"/>
    <n v="117"/>
    <n v="541.50132478632486"/>
    <n v="70.400000000000006"/>
    <n v="947.6273183760685"/>
    <m/>
  </r>
  <r>
    <x v="38"/>
    <x v="52"/>
    <n v="2500"/>
    <n v="80"/>
    <n v="418.87"/>
    <n v="2600"/>
    <n v="418.87"/>
    <n v="100"/>
    <n v="3018.87"/>
    <n v="391.48"/>
    <n v="3410.35"/>
    <s v="DD"/>
    <n v="29.16782608695652"/>
    <n v="103.5"/>
    <n v="342.72195652173912"/>
    <n v="44.55"/>
    <n v="599.76342391304343"/>
    <m/>
  </r>
  <r>
    <x v="39"/>
    <x v="52"/>
    <n v="2316"/>
    <n v="49.5"/>
    <n v="360.74"/>
    <n v="2366"/>
    <n v="360.74"/>
    <n v="50"/>
    <n v="2726.74"/>
    <n v="369.14"/>
    <n v="3095.88"/>
    <s v="DD"/>
    <n v="31.341839080459767"/>
    <n v="87"/>
    <n v="148.87373563218389"/>
    <n v="17.86"/>
    <n v="260.52903735632179"/>
    <m/>
  </r>
  <r>
    <x v="40"/>
    <x v="52"/>
    <n v="2342"/>
    <n v="80"/>
    <n v="367.19"/>
    <n v="2392"/>
    <n v="367.19"/>
    <n v="50"/>
    <n v="2759.19"/>
    <n v="371.62"/>
    <n v="3130.81"/>
    <s v="DD"/>
    <n v="29.668709677419354"/>
    <n v="93"/>
    <n v="192.8466129032258"/>
    <n v="23.14"/>
    <n v="337.48157258064515"/>
    <m/>
  </r>
  <r>
    <x v="41"/>
    <x v="52"/>
    <n v="2316"/>
    <n v="80"/>
    <n v="360.71"/>
    <n v="2366"/>
    <n v="360.71"/>
    <n v="50"/>
    <n v="2726.71"/>
    <n v="369.12"/>
    <n v="3095.83"/>
    <s v="DD"/>
    <n v="29.963846153846156"/>
    <n v="91"/>
    <n v="164.80115384615385"/>
    <n v="18.13"/>
    <n v="288.40201923076927"/>
    <m/>
  </r>
  <r>
    <x v="42"/>
    <x v="52"/>
    <n v="1946"/>
    <n v="49.5"/>
    <n v="269.97000000000003"/>
    <n v="1976"/>
    <n v="269.97000000000003"/>
    <n v="30"/>
    <n v="2245.9699999999998"/>
    <n v="332.36"/>
    <n v="2578.33"/>
    <s v="DD"/>
    <n v="29.552236842105266"/>
    <n v="76"/>
    <n v="140.37312500000002"/>
    <n v="15.44"/>
    <n v="245.65296875000001"/>
    <m/>
  </r>
  <r>
    <x v="43"/>
    <x v="52"/>
    <n v="2381"/>
    <n v="80"/>
    <n v="376.87"/>
    <n v="2431"/>
    <n v="376.87"/>
    <n v="50"/>
    <n v="2807.87"/>
    <n v="375.34"/>
    <n v="3183.21"/>
    <s v="DD"/>
    <n v="30.030695187165776"/>
    <n v="93.5"/>
    <n v="202.70719251336899"/>
    <n v="20.27"/>
    <n v="354.73758689839576"/>
    <m/>
  </r>
  <r>
    <x v="44"/>
    <x v="52"/>
    <n v="2093"/>
    <n v="48.5"/>
    <n v="291.26"/>
    <n v="2093"/>
    <n v="291.26"/>
    <n v="0"/>
    <n v="2384.2600000000002"/>
    <n v="396.35"/>
    <n v="2780.61"/>
    <s v="DD"/>
    <n v="29.618136645962736"/>
    <n v="80.5"/>
    <n v="125.87708074534163"/>
    <n v="12.59"/>
    <n v="220.28489130434787"/>
    <m/>
  </r>
  <r>
    <x v="45"/>
    <x v="52"/>
    <n v="2121"/>
    <n v="51.5"/>
    <m/>
    <n v="2221"/>
    <n v="262.05"/>
    <n v="100"/>
    <n v="2483.0500000000002"/>
    <n v="380.2"/>
    <n v="2863.25"/>
    <s v="DD"/>
    <n v="26.598802395209582"/>
    <n v="83.5"/>
    <n v="152.94311377245509"/>
    <n v="13.76"/>
    <n v="267.65044910179643"/>
    <m/>
  </r>
  <r>
    <x v="46"/>
    <x v="52"/>
    <n v="2394"/>
    <n v="80"/>
    <m/>
    <n v="2444"/>
    <n v="301.94"/>
    <n v="50"/>
    <n v="2745.94"/>
    <n v="401.94"/>
    <n v="3147.88"/>
    <s v="DD"/>
    <n v="26"/>
    <n v="94"/>
    <n v="182"/>
    <n v="16.38"/>
    <n v="318.5"/>
    <m/>
  </r>
  <r>
    <x v="47"/>
    <x v="52"/>
    <n v="2173"/>
    <n v="52.5"/>
    <m/>
    <n v="2223"/>
    <n v="253.58"/>
    <n v="50"/>
    <n v="2476.58"/>
    <n v="318.94"/>
    <n v="2795.52"/>
    <s v="DD"/>
    <n v="26"/>
    <n v="85.5"/>
    <n v="162.5"/>
    <n v="13"/>
    <n v="284.375"/>
    <m/>
  </r>
  <r>
    <x v="48"/>
    <x v="52"/>
    <n v="2264"/>
    <n v="80"/>
    <m/>
    <n v="2314"/>
    <n v="269.86"/>
    <n v="50"/>
    <n v="2583.86"/>
    <n v="327.39"/>
    <n v="2911.25"/>
    <s v="DD"/>
    <n v="23.612244897959183"/>
    <n v="98"/>
    <n v="212.51020408163265"/>
    <n v="17"/>
    <n v="371.89285714285711"/>
    <m/>
  </r>
  <r>
    <x v="49"/>
    <x v="52"/>
    <n v="2238"/>
    <n v="48"/>
    <m/>
    <n v="2288"/>
    <n v="359.4"/>
    <n v="50"/>
    <n v="2647.4"/>
    <n v="324.97000000000003"/>
    <n v="2972.37"/>
    <s v="DD"/>
    <n v="28.6"/>
    <n v="80"/>
    <n v="114.4"/>
    <n v="9.15"/>
    <n v="200.20000000000002"/>
    <m/>
  </r>
  <r>
    <x v="50"/>
    <x v="52"/>
    <n v="1959.7"/>
    <n v="79"/>
    <m/>
    <n v="2370"/>
    <n v="375.3"/>
    <n v="35"/>
    <n v="2370"/>
    <n v="331.18"/>
    <n v="2701.18"/>
    <s v="DD"/>
    <n v="30"/>
    <n v="79"/>
    <n v="0"/>
    <n v="0"/>
    <n v="0"/>
    <m/>
  </r>
  <r>
    <x v="99"/>
    <x v="52"/>
    <n v="1063.7"/>
    <n v="24"/>
    <m/>
    <n v="1200"/>
    <n v="136.30000000000001"/>
    <n v="0"/>
    <n v="1200"/>
    <n v="167.69"/>
    <n v="1367.69"/>
    <s v="DD"/>
    <n v="50"/>
    <n v="24"/>
    <n v="0"/>
    <n v="0"/>
    <n v="0"/>
    <m/>
  </r>
  <r>
    <x v="16"/>
    <x v="52"/>
    <n v="500.07"/>
    <n v="18.38"/>
    <m/>
    <n v="551.4"/>
    <n v="51.33"/>
    <n v="0"/>
    <n v="551.4"/>
    <n v="76.47"/>
    <n v="627.87"/>
    <s v="DD"/>
    <e v="#DIV/0!"/>
    <m/>
    <e v="#DIV/0!"/>
    <e v="#VALUE!"/>
    <e v="#DIV/0!"/>
    <m/>
  </r>
  <r>
    <x v="16"/>
    <x v="52"/>
    <n v="1800"/>
    <n v="0"/>
    <m/>
    <n v="1800"/>
    <n v="0"/>
    <n v="0"/>
    <n v="1800"/>
    <n v="0"/>
    <n v="1800"/>
    <n v="100213"/>
    <e v="#DIV/0!"/>
    <m/>
    <e v="#DIV/0!"/>
    <e v="#VALUE!"/>
    <e v="#DIV/0!"/>
    <m/>
  </r>
  <r>
    <x v="16"/>
    <x v="52"/>
    <n v="250.07"/>
    <n v="25.73"/>
    <m/>
    <n v="771.9"/>
    <n v="71.83"/>
    <n v="450"/>
    <n v="771.9"/>
    <n v="107.04"/>
    <n v="878.94"/>
    <s v="DD"/>
    <e v="#DIV/0!"/>
    <m/>
    <e v="#DIV/0!"/>
    <e v="#VALUE!"/>
    <e v="#DIV/0!"/>
    <m/>
  </r>
  <r>
    <x v="16"/>
    <x v="52"/>
    <n v="450"/>
    <n v="0"/>
    <m/>
    <n v="450"/>
    <n v="0"/>
    <n v="0"/>
    <n v="450"/>
    <n v="0"/>
    <n v="450"/>
    <s v="DD"/>
    <e v="#DIV/0!"/>
    <m/>
    <e v="#DIV/0!"/>
    <e v="#VALUE!"/>
    <e v="#DIV/0!"/>
    <m/>
  </r>
  <r>
    <x v="100"/>
    <x v="52"/>
    <n v="435.34"/>
    <n v="16"/>
    <m/>
    <n v="480"/>
    <n v="44.66"/>
    <n v="0"/>
    <n v="480"/>
    <n v="66.56"/>
    <n v="546.55999999999995"/>
    <s v="DD"/>
    <n v="30"/>
    <n v="16"/>
    <n v="0"/>
    <n v="0"/>
    <n v="0"/>
    <m/>
  </r>
  <r>
    <x v="101"/>
    <x v="52"/>
    <n v="1829.45"/>
    <n v="72"/>
    <m/>
    <n v="2160"/>
    <n v="330.55"/>
    <n v="0"/>
    <n v="2160"/>
    <n v="299.52999999999997"/>
    <n v="2459.5300000000002"/>
    <s v="DD"/>
    <n v="30"/>
    <n v="72"/>
    <n v="0"/>
    <n v="0"/>
    <n v="0"/>
    <m/>
  </r>
  <r>
    <x v="77"/>
    <x v="52"/>
    <m/>
    <n v="80"/>
    <m/>
    <n v="1440"/>
    <m/>
    <m/>
    <m/>
    <m/>
    <m/>
    <m/>
    <e v="#DIV/0!"/>
    <n v="0"/>
    <n v="0"/>
    <n v="0"/>
    <n v="0"/>
    <m/>
  </r>
  <r>
    <x v="84"/>
    <x v="53"/>
    <m/>
    <n v="36.5"/>
    <m/>
    <m/>
    <m/>
    <m/>
    <m/>
    <m/>
    <m/>
    <m/>
    <n v="21.57"/>
    <n v="36.5"/>
    <n v="787.30500000000006"/>
    <n v="165.33"/>
    <n v="1377.7837500000001"/>
    <n v="546.07000000000005"/>
  </r>
  <r>
    <x v="18"/>
    <x v="53"/>
    <n v="1717"/>
    <n v="80"/>
    <n v="193.48"/>
    <n v="1717"/>
    <n v="193.48"/>
    <n v="0"/>
    <n v="1910.48"/>
    <n v="352.73"/>
    <n v="2263.21"/>
    <s v="DD"/>
    <n v="18.915643564356436"/>
    <n v="101"/>
    <n v="198.61425742574258"/>
    <n v="41.71"/>
    <n v="347.57495049504951"/>
    <m/>
  </r>
  <r>
    <x v="19"/>
    <x v="53"/>
    <n v="880"/>
    <n v="41"/>
    <n v="880"/>
    <m/>
    <n v="97.27"/>
    <n v="0"/>
    <n v="977.27"/>
    <n v="98.32"/>
    <n v="1075.5899999999999"/>
    <s v="DD"/>
    <n v="16"/>
    <n v="80"/>
    <n v="8"/>
    <n v="1.6"/>
    <n v="14"/>
    <m/>
  </r>
  <r>
    <x v="20"/>
    <x v="53"/>
    <n v="1514"/>
    <n v="80"/>
    <n v="312.88"/>
    <n v="1589"/>
    <n v="312.88"/>
    <n v="75"/>
    <n v="1901.88"/>
    <n v="351.87"/>
    <n v="2253.75"/>
    <s v="DD"/>
    <n v="20.340962566844922"/>
    <n v="93.5"/>
    <n v="137.30149732620322"/>
    <n v="27.46"/>
    <n v="240.27762032085565"/>
    <m/>
  </r>
  <r>
    <x v="21"/>
    <x v="53"/>
    <n v="631"/>
    <n v="46"/>
    <n v="190.68"/>
    <n v="1071"/>
    <n v="190.68"/>
    <n v="440"/>
    <n v="1261.68"/>
    <n v="287.45999999999998"/>
    <n v="1549.14"/>
    <s v="DD"/>
    <n v="20.026666666666667"/>
    <n v="63"/>
    <n v="60.08"/>
    <n v="11.42"/>
    <n v="105.14"/>
    <m/>
  </r>
  <r>
    <x v="43"/>
    <x v="53"/>
    <n v="1200"/>
    <n v="80"/>
    <n v="387.67"/>
    <n v="1890"/>
    <n v="387.67"/>
    <n v="690"/>
    <n v="2277.67"/>
    <n v="377.84"/>
    <n v="2655.51"/>
    <s v="DD"/>
    <n v="22.891155778894472"/>
    <n v="99.5"/>
    <n v="223.1887688442211"/>
    <n v="22.32"/>
    <n v="390.58034547738691"/>
    <m/>
  </r>
  <r>
    <x v="44"/>
    <x v="53"/>
    <n v="1672"/>
    <n v="49.5"/>
    <n v="331.42"/>
    <n v="1672"/>
    <n v="331.42"/>
    <n v="0"/>
    <n v="2003.42"/>
    <n v="358.68"/>
    <n v="2362.1"/>
    <s v="DD"/>
    <n v="22.766136363636363"/>
    <n v="88"/>
    <n v="108.13914772727273"/>
    <n v="10.81"/>
    <n v="189.24350852272727"/>
    <m/>
  </r>
  <r>
    <x v="45"/>
    <x v="53"/>
    <n v="1401"/>
    <n v="41.5"/>
    <m/>
    <n v="1501"/>
    <n v="232.36"/>
    <n v="100"/>
    <n v="1733.36"/>
    <n v="308.98"/>
    <n v="2042.34"/>
    <s v="DD"/>
    <n v="19"/>
    <n v="79"/>
    <n v="14.25"/>
    <n v="1.28"/>
    <n v="24.9375"/>
    <m/>
  </r>
  <r>
    <x v="46"/>
    <x v="53"/>
    <n v="1850"/>
    <n v="80"/>
    <m/>
    <n v="1900"/>
    <n v="310.83999999999997"/>
    <n v="50"/>
    <n v="2210.84"/>
    <n v="348.45"/>
    <n v="2559.29"/>
    <s v="DD"/>
    <n v="19"/>
    <n v="100"/>
    <n v="190"/>
    <n v="17.100000000000001"/>
    <n v="332.5"/>
    <m/>
  </r>
  <r>
    <x v="47"/>
    <x v="53"/>
    <n v="1726"/>
    <n v="80"/>
    <m/>
    <n v="1776"/>
    <n v="277.35000000000002"/>
    <n v="50"/>
    <n v="2053.35"/>
    <n v="287"/>
    <n v="2340.35"/>
    <s v="DD"/>
    <n v="18.994652406417114"/>
    <n v="93.5"/>
    <n v="128.21390374331551"/>
    <n v="10.26"/>
    <n v="224.37433155080214"/>
    <m/>
  </r>
  <r>
    <x v="48"/>
    <x v="53"/>
    <n v="1970"/>
    <n v="80"/>
    <m/>
    <n v="2020"/>
    <n v="325.89999999999998"/>
    <n v="50"/>
    <n v="2345.9"/>
    <n v="300.08"/>
    <n v="2645.98"/>
    <s v="DD"/>
    <n v="20"/>
    <n v="101"/>
    <n v="210"/>
    <n v="16.8"/>
    <n v="367.5"/>
    <m/>
  </r>
  <r>
    <x v="49"/>
    <x v="53"/>
    <n v="1660"/>
    <n v="48"/>
    <m/>
    <n v="1710"/>
    <n v="264.2"/>
    <n v="50"/>
    <n v="1974.2"/>
    <n v="271.27"/>
    <n v="2245.4699999999998"/>
    <s v="DD"/>
    <n v="20"/>
    <n v="85.5"/>
    <n v="80"/>
    <n v="6.4"/>
    <n v="140"/>
    <m/>
  </r>
  <r>
    <x v="50"/>
    <x v="53"/>
    <n v="1639.32"/>
    <n v="45"/>
    <m/>
    <n v="1935"/>
    <n v="310.68"/>
    <n v="0"/>
    <n v="1950"/>
    <n v="297.81"/>
    <n v="2247.81"/>
    <s v="DD"/>
    <n v="23.035714285714285"/>
    <n v="84"/>
    <n v="11.517857142857142"/>
    <n v="0.81"/>
    <n v="20.15625"/>
    <m/>
  </r>
  <r>
    <x v="99"/>
    <x v="53"/>
    <n v="800.88"/>
    <n v="24"/>
    <m/>
    <n v="900"/>
    <n v="99.12"/>
    <n v="0"/>
    <n v="900"/>
    <n v="139.82"/>
    <n v="1039.82"/>
    <s v="DD"/>
    <n v="37.5"/>
    <n v="24"/>
    <n v="0"/>
    <n v="0"/>
    <n v="0"/>
    <m/>
  </r>
  <r>
    <x v="16"/>
    <x v="53"/>
    <n v="500.02"/>
    <n v="24.63"/>
    <m/>
    <n v="554.17999999999995"/>
    <n v="54.16"/>
    <n v="0"/>
    <n v="554.17999999999995"/>
    <n v="88.09"/>
    <n v="642.27"/>
    <s v="DD"/>
    <e v="#DIV/0!"/>
    <m/>
    <e v="#DIV/0!"/>
    <e v="#VALUE!"/>
    <e v="#DIV/0!"/>
    <m/>
  </r>
  <r>
    <x v="16"/>
    <x v="53"/>
    <n v="700.04"/>
    <n v="32.020000000000003"/>
    <m/>
    <n v="720.45"/>
    <n v="70.41"/>
    <n v="0"/>
    <n v="770.45"/>
    <n v="114.52"/>
    <n v="884.97"/>
    <s v="DD"/>
    <e v="#DIV/0!"/>
    <m/>
    <e v="#DIV/0!"/>
    <e v="#VALUE!"/>
    <e v="#DIV/0!"/>
    <m/>
  </r>
  <r>
    <x v="16"/>
    <x v="53"/>
    <n v="300"/>
    <n v="14.78"/>
    <m/>
    <n v="332.5"/>
    <n v="32.5"/>
    <n v="0"/>
    <n v="332.5"/>
    <n v="52.87"/>
    <n v="385.37"/>
    <s v="DD"/>
    <e v="#DIV/0!"/>
    <m/>
    <e v="#DIV/0!"/>
    <e v="#VALUE!"/>
    <e v="#DIV/0!"/>
    <m/>
  </r>
  <r>
    <x v="101"/>
    <x v="53"/>
    <n v="1717.48"/>
    <n v="87.5"/>
    <m/>
    <n v="2053.13"/>
    <n v="335.65"/>
    <n v="0"/>
    <n v="2053.13"/>
    <n v="319.51"/>
    <n v="2372.64"/>
    <s v="DD"/>
    <n v="23.46434285714286"/>
    <n v="87.5"/>
    <n v="0"/>
    <n v="0"/>
    <n v="0"/>
    <m/>
  </r>
  <r>
    <x v="77"/>
    <x v="53"/>
    <n v="1756.97"/>
    <n v="48"/>
    <m/>
    <n v="2356.88"/>
    <m/>
    <m/>
    <m/>
    <m/>
    <m/>
    <m/>
    <n v="21.57"/>
    <n v="48"/>
    <n v="1121.6399999999999"/>
    <n v="44.87"/>
    <n v="1962.87"/>
    <m/>
  </r>
  <r>
    <x v="80"/>
    <x v="53"/>
    <m/>
    <n v="80.5"/>
    <m/>
    <m/>
    <m/>
    <m/>
    <m/>
    <m/>
    <m/>
    <m/>
    <n v="21.57"/>
    <n v="80.5"/>
    <n v="1741.7774999999999"/>
    <n v="69.67"/>
    <n v="3048.1106249999998"/>
    <m/>
  </r>
  <r>
    <x v="78"/>
    <x v="53"/>
    <m/>
    <n v="80"/>
    <m/>
    <m/>
    <m/>
    <m/>
    <m/>
    <m/>
    <m/>
    <m/>
    <n v="21.57"/>
    <n v="80"/>
    <n v="1811.88"/>
    <n v="72.48"/>
    <n v="3170.79"/>
    <m/>
  </r>
  <r>
    <x v="47"/>
    <x v="54"/>
    <n v="1822"/>
    <n v="53"/>
    <m/>
    <n v="1872"/>
    <n v="181.61"/>
    <n v="50"/>
    <n v="2053.61"/>
    <n v="297.55"/>
    <n v="2351.16"/>
    <s v="DD"/>
    <n v="24"/>
    <n v="78"/>
    <n v="156"/>
    <n v="12.48"/>
    <n v="273"/>
    <n v="546.07000000000005"/>
  </r>
  <r>
    <x v="48"/>
    <x v="54"/>
    <n v="2386"/>
    <n v="80"/>
    <m/>
    <n v="2436"/>
    <n v="226.2"/>
    <n v="50"/>
    <n v="2662.2"/>
    <n v="353.36"/>
    <n v="3015.56"/>
    <s v="DD"/>
    <n v="24"/>
    <n v="101.5"/>
    <n v="258"/>
    <n v="20.64"/>
    <n v="451.5"/>
    <m/>
  </r>
  <r>
    <x v="49"/>
    <x v="54"/>
    <n v="2266"/>
    <n v="80"/>
    <m/>
    <n v="2316"/>
    <n v="216.7"/>
    <n v="50"/>
    <n v="2532.6999999999998"/>
    <n v="341.46"/>
    <n v="2874.16"/>
    <s v="DD"/>
    <n v="24"/>
    <n v="96.5"/>
    <n v="198"/>
    <n v="15.84"/>
    <n v="346.5"/>
    <m/>
  </r>
  <r>
    <x v="50"/>
    <x v="54"/>
    <n v="2107.7399999999998"/>
    <n v="45"/>
    <m/>
    <n v="2365"/>
    <n v="222.26"/>
    <n v="35"/>
    <n v="2365"/>
    <n v="340"/>
    <n v="2705"/>
    <s v="DD"/>
    <n v="28.154761904761905"/>
    <n v="84"/>
    <n v="14.077380952380953"/>
    <n v="0.99"/>
    <n v="24.635416666666668"/>
    <m/>
  </r>
  <r>
    <x v="99"/>
    <x v="54"/>
    <n v="996.23"/>
    <n v="16"/>
    <m/>
    <n v="1100"/>
    <n v="103.77"/>
    <n v="0"/>
    <n v="1100"/>
    <n v="158.4"/>
    <n v="1258.4000000000001"/>
    <s v="DD"/>
    <n v="68.75"/>
    <n v="16"/>
    <n v="0"/>
    <n v="0"/>
    <n v="0"/>
    <m/>
  </r>
  <r>
    <x v="16"/>
    <x v="54"/>
    <n v="500.11"/>
    <n v="20.079999999999998"/>
    <m/>
    <n v="552"/>
    <n v="52.09"/>
    <n v="0"/>
    <n v="552.20000000000005"/>
    <n v="79.63"/>
    <n v="631.83000000000004"/>
    <s v="DD"/>
    <e v="#DIV/0!"/>
    <m/>
    <e v="#DIV/0!"/>
    <e v="#VALUE!"/>
    <e v="#DIV/0!"/>
    <m/>
  </r>
  <r>
    <x v="16"/>
    <x v="54"/>
    <n v="700.1"/>
    <n v="28.11"/>
    <m/>
    <n v="773.03"/>
    <n v="72.930000000000007"/>
    <n v="0"/>
    <n v="773.03"/>
    <n v="111.48"/>
    <n v="884.51"/>
    <s v="DD"/>
    <e v="#DIV/0!"/>
    <m/>
    <e v="#DIV/0!"/>
    <e v="#VALUE!"/>
    <e v="#DIV/0!"/>
    <m/>
  </r>
  <r>
    <x v="100"/>
    <x v="54"/>
    <n v="996.23"/>
    <n v="40"/>
    <m/>
    <n v="1100"/>
    <n v="103.77"/>
    <n v="0"/>
    <n v="1100"/>
    <n v="158.62"/>
    <n v="1258.6199999999999"/>
    <s v="DD"/>
    <n v="27.5"/>
    <n v="40"/>
    <n v="0"/>
    <n v="0"/>
    <n v="0"/>
    <m/>
  </r>
  <r>
    <x v="101"/>
    <x v="54"/>
    <n v="1905.82"/>
    <n v="72.5"/>
    <m/>
    <n v="2102"/>
    <n v="196.68"/>
    <n v="0"/>
    <n v="2102.5"/>
    <n v="295.95999999999998"/>
    <n v="2398.46"/>
    <s v="DD"/>
    <n v="28.993103448275861"/>
    <n v="72.5"/>
    <n v="0"/>
    <n v="0"/>
    <n v="0"/>
    <m/>
  </r>
  <r>
    <x v="77"/>
    <x v="54"/>
    <n v="2239.9299999999998"/>
    <n v="80"/>
    <m/>
    <n v="2689.75"/>
    <m/>
    <m/>
    <m/>
    <m/>
    <m/>
    <m/>
    <n v="32.200000000000003"/>
    <n v="80"/>
    <n v="2576"/>
    <n v="103.04"/>
    <n v="4508"/>
    <m/>
  </r>
  <r>
    <x v="80"/>
    <x v="54"/>
    <m/>
    <n v="91.5"/>
    <m/>
    <m/>
    <m/>
    <m/>
    <m/>
    <m/>
    <m/>
    <m/>
    <n v="32.200000000000003"/>
    <n v="91.5"/>
    <n v="3131.45"/>
    <n v="125.26"/>
    <n v="5480.0374999999995"/>
    <m/>
  </r>
  <r>
    <x v="78"/>
    <x v="54"/>
    <m/>
    <n v="101.5"/>
    <m/>
    <m/>
    <m/>
    <m/>
    <m/>
    <m/>
    <m/>
    <m/>
    <n v="32.200000000000003"/>
    <n v="101.5"/>
    <n v="2645.8"/>
    <n v="105.83"/>
    <n v="4630.1500000000005"/>
    <m/>
  </r>
  <r>
    <x v="54"/>
    <x v="55"/>
    <m/>
    <n v="36"/>
    <m/>
    <m/>
    <m/>
    <m/>
    <m/>
    <m/>
    <m/>
    <m/>
    <n v="41.63"/>
    <n v="36"/>
    <n v="3348.8450000000003"/>
    <n v="1105.1199999999999"/>
    <n v="5860.4787500000002"/>
    <n v="546.07000000000005"/>
  </r>
  <r>
    <x v="55"/>
    <x v="55"/>
    <m/>
    <n v="53"/>
    <m/>
    <m/>
    <m/>
    <m/>
    <m/>
    <m/>
    <m/>
    <m/>
    <n v="41.63"/>
    <n v="53"/>
    <n v="2206.3900000000003"/>
    <n v="706.04"/>
    <n v="3861.1825000000008"/>
    <m/>
  </r>
  <r>
    <x v="56"/>
    <x v="55"/>
    <m/>
    <n v="106"/>
    <m/>
    <m/>
    <m/>
    <m/>
    <m/>
    <m/>
    <m/>
    <m/>
    <n v="41.63"/>
    <n v="106"/>
    <n v="4953.97"/>
    <n v="1535.73"/>
    <n v="8669.4475000000002"/>
    <m/>
  </r>
  <r>
    <x v="57"/>
    <x v="55"/>
    <m/>
    <n v="106"/>
    <m/>
    <m/>
    <m/>
    <m/>
    <m/>
    <m/>
    <m/>
    <m/>
    <n v="41.63"/>
    <n v="106"/>
    <n v="4953.97"/>
    <n v="1535.73"/>
    <n v="8669.4475000000002"/>
    <m/>
  </r>
  <r>
    <x v="58"/>
    <x v="55"/>
    <m/>
    <n v="106"/>
    <m/>
    <m/>
    <m/>
    <m/>
    <m/>
    <m/>
    <m/>
    <m/>
    <n v="41.63"/>
    <n v="106"/>
    <n v="4953.97"/>
    <n v="1486.19"/>
    <n v="8669.4475000000002"/>
    <m/>
  </r>
  <r>
    <x v="59"/>
    <x v="55"/>
    <m/>
    <n v="93"/>
    <m/>
    <m/>
    <m/>
    <m/>
    <m/>
    <m/>
    <m/>
    <m/>
    <n v="41.63"/>
    <n v="93"/>
    <n v="4142.1850000000004"/>
    <n v="1242.6600000000001"/>
    <n v="7248.8237500000005"/>
    <m/>
  </r>
  <r>
    <x v="0"/>
    <x v="55"/>
    <m/>
    <n v="92"/>
    <m/>
    <m/>
    <m/>
    <m/>
    <m/>
    <m/>
    <m/>
    <m/>
    <n v="41.63"/>
    <n v="92"/>
    <n v="4079.7400000000002"/>
    <n v="1183.1199999999999"/>
    <n v="7139.5450000000001"/>
    <m/>
  </r>
  <r>
    <x v="1"/>
    <x v="55"/>
    <m/>
    <n v="106"/>
    <m/>
    <m/>
    <m/>
    <m/>
    <m/>
    <m/>
    <m/>
    <m/>
    <n v="41.63"/>
    <n v="106"/>
    <n v="4953.97"/>
    <n v="1436.65"/>
    <n v="8669.4475000000002"/>
    <m/>
  </r>
  <r>
    <x v="2"/>
    <x v="55"/>
    <m/>
    <n v="103"/>
    <m/>
    <m/>
    <m/>
    <m/>
    <m/>
    <m/>
    <m/>
    <m/>
    <n v="41.63"/>
    <n v="103"/>
    <n v="4766.6350000000002"/>
    <n v="1334.66"/>
    <n v="8341.6112499999999"/>
    <m/>
  </r>
  <r>
    <x v="3"/>
    <x v="55"/>
    <m/>
    <n v="72"/>
    <m/>
    <m/>
    <m/>
    <m/>
    <m/>
    <m/>
    <m/>
    <m/>
    <n v="41.63"/>
    <n v="72"/>
    <n v="2997.36"/>
    <n v="839.26"/>
    <n v="5245.38"/>
    <m/>
  </r>
  <r>
    <x v="4"/>
    <x v="55"/>
    <m/>
    <n v="87"/>
    <m/>
    <m/>
    <m/>
    <m/>
    <m/>
    <m/>
    <m/>
    <m/>
    <n v="41.63"/>
    <n v="87"/>
    <n v="3767.5150000000003"/>
    <n v="1017.23"/>
    <n v="6593.1512500000008"/>
    <m/>
  </r>
  <r>
    <x v="5"/>
    <x v="55"/>
    <m/>
    <n v="89"/>
    <m/>
    <m/>
    <m/>
    <m/>
    <m/>
    <m/>
    <m/>
    <m/>
    <n v="41.63"/>
    <n v="89"/>
    <n v="3892.4050000000002"/>
    <n v="1050.95"/>
    <n v="6811.7087500000007"/>
    <m/>
  </r>
  <r>
    <x v="6"/>
    <x v="55"/>
    <m/>
    <n v="45"/>
    <m/>
    <m/>
    <m/>
    <m/>
    <m/>
    <m/>
    <m/>
    <m/>
    <n v="41.63"/>
    <n v="45"/>
    <n v="1977.4250000000002"/>
    <n v="514.13"/>
    <n v="3460.4937500000005"/>
    <m/>
  </r>
  <r>
    <x v="7"/>
    <x v="55"/>
    <m/>
    <n v="83"/>
    <m/>
    <m/>
    <m/>
    <m/>
    <m/>
    <m/>
    <m/>
    <m/>
    <n v="41.63"/>
    <n v="83"/>
    <n v="3517.7350000000001"/>
    <n v="914.61"/>
    <n v="6156.0362500000001"/>
    <m/>
  </r>
  <r>
    <x v="8"/>
    <x v="55"/>
    <m/>
    <n v="111.5"/>
    <m/>
    <m/>
    <m/>
    <m/>
    <m/>
    <m/>
    <m/>
    <m/>
    <n v="41.63"/>
    <n v="111.5"/>
    <n v="5297.4175000000005"/>
    <n v="1324.35"/>
    <n v="9270.4806250000001"/>
    <m/>
  </r>
  <r>
    <x v="9"/>
    <x v="55"/>
    <m/>
    <n v="99.75"/>
    <m/>
    <m/>
    <m/>
    <m/>
    <m/>
    <m/>
    <m/>
    <m/>
    <n v="41.63"/>
    <n v="99.75"/>
    <n v="4563.6887500000003"/>
    <n v="1140.92"/>
    <n v="7986.4553125000002"/>
    <m/>
  </r>
  <r>
    <x v="10"/>
    <x v="55"/>
    <m/>
    <n v="116"/>
    <m/>
    <m/>
    <m/>
    <m/>
    <m/>
    <m/>
    <m/>
    <m/>
    <n v="41.63"/>
    <n v="116"/>
    <n v="5578.42"/>
    <n v="1394.61"/>
    <n v="9762.2350000000006"/>
    <m/>
  </r>
  <r>
    <x v="11"/>
    <x v="55"/>
    <m/>
    <n v="103"/>
    <m/>
    <m/>
    <m/>
    <m/>
    <m/>
    <m/>
    <m/>
    <m/>
    <n v="41.63"/>
    <n v="103"/>
    <n v="4766.6350000000002"/>
    <n v="1143.99"/>
    <n v="8341.6112499999999"/>
    <m/>
  </r>
  <r>
    <x v="36"/>
    <x v="55"/>
    <m/>
    <n v="96"/>
    <m/>
    <m/>
    <m/>
    <m/>
    <m/>
    <m/>
    <m/>
    <m/>
    <n v="41.63"/>
    <n v="96"/>
    <n v="4329.5200000000004"/>
    <n v="1039.08"/>
    <n v="7576.6600000000008"/>
    <m/>
  </r>
  <r>
    <x v="91"/>
    <x v="55"/>
    <m/>
    <n v="24"/>
    <m/>
    <m/>
    <m/>
    <m/>
    <m/>
    <m/>
    <m/>
    <m/>
    <n v="41.63"/>
    <n v="24"/>
    <n v="999.12000000000012"/>
    <n v="229.8"/>
    <n v="1748.4600000000003"/>
    <m/>
  </r>
  <r>
    <x v="17"/>
    <x v="55"/>
    <n v="2170"/>
    <n v="80"/>
    <n v="566.59"/>
    <n v="2610"/>
    <n v="566.59"/>
    <n v="440"/>
    <n v="3176.59"/>
    <n v="480.11"/>
    <n v="3656.7"/>
    <n v="100146"/>
    <n v="27.987577092511014"/>
    <n v="113.5"/>
    <n v="468.79191629955949"/>
    <n v="98.45"/>
    <n v="820.38585352422911"/>
    <m/>
  </r>
  <r>
    <x v="18"/>
    <x v="55"/>
    <n v="2063"/>
    <n v="80"/>
    <n v="242.48"/>
    <n v="2288"/>
    <n v="242.48"/>
    <n v="225"/>
    <n v="2530.48"/>
    <n v="415.11"/>
    <n v="2945.59"/>
    <s v="DD"/>
    <n v="25.431959798994974"/>
    <n v="99.5"/>
    <n v="247.96160804020099"/>
    <n v="52.07"/>
    <n v="433.9328140703517"/>
    <m/>
  </r>
  <r>
    <x v="19"/>
    <x v="55"/>
    <n v="2041"/>
    <n v="0"/>
    <n v="2041"/>
    <m/>
    <n v="372.13"/>
    <n v="0"/>
    <n v="2413.13"/>
    <n v="236.03"/>
    <n v="2649.16"/>
    <s v="DD"/>
    <n v="22.552486187845304"/>
    <n v="90.5"/>
    <n v="118.40055248618785"/>
    <n v="23.68"/>
    <n v="207.20096685082873"/>
    <m/>
  </r>
  <r>
    <x v="20"/>
    <x v="55"/>
    <n v="885"/>
    <n v="36"/>
    <n v="150.12"/>
    <n v="885"/>
    <n v="150.12"/>
    <n v="0"/>
    <n v="1035.1199999999999"/>
    <n v="258.47000000000003"/>
    <n v="1293.5899999999999"/>
    <s v="DD"/>
    <n v="28.75333333333333"/>
    <n v="36"/>
    <n v="0"/>
    <n v="0"/>
    <n v="0"/>
    <m/>
  </r>
  <r>
    <x v="21"/>
    <x v="55"/>
    <n v="2093"/>
    <n v="80"/>
    <n v="438.11"/>
    <n v="2093"/>
    <n v="438.11"/>
    <n v="0"/>
    <n v="2531.11"/>
    <n v="399.99"/>
    <n v="2931.1"/>
    <s v="DD"/>
    <n v="27.814395604395607"/>
    <n v="91"/>
    <n v="152.97917582417583"/>
    <n v="29.07"/>
    <n v="267.71355769230769"/>
    <m/>
  </r>
  <r>
    <x v="22"/>
    <x v="55"/>
    <n v="2093"/>
    <n v="80"/>
    <n v="599.11"/>
    <n v="1932"/>
    <n v="438.11"/>
    <n v="0"/>
    <n v="2531.11"/>
    <n v="399.99"/>
    <n v="2931.1"/>
    <s v="DD"/>
    <n v="30.132261904761908"/>
    <n v="84"/>
    <n v="60.264523809523816"/>
    <n v="11.45"/>
    <n v="105.46291666666667"/>
    <m/>
  </r>
  <r>
    <x v="49"/>
    <x v="55"/>
    <n v="920"/>
    <n v="40"/>
    <n v="3608.32"/>
    <n v="920"/>
    <n v="102.7"/>
    <n v="0"/>
    <n v="1022.7"/>
    <n v="147.19999999999999"/>
    <n v="1169.9000000000001"/>
    <s v="DD"/>
    <n v="113.208"/>
    <n v="40"/>
    <n v="0"/>
    <n v="0"/>
    <n v="0"/>
    <m/>
  </r>
  <r>
    <x v="50"/>
    <x v="55"/>
    <n v="3094.94"/>
    <n v="86"/>
    <m/>
    <n v="4154"/>
    <n v="219.06"/>
    <n v="0"/>
    <n v="3314"/>
    <n v="349.69"/>
    <n v="3663.69"/>
    <s v="DD"/>
    <n v="48.302325581395351"/>
    <n v="86"/>
    <n v="0"/>
    <n v="0"/>
    <n v="0"/>
    <m/>
  </r>
  <r>
    <x v="99"/>
    <x v="55"/>
    <n v="940.97"/>
    <n v="16"/>
    <m/>
    <n v="1040"/>
    <n v="99.03"/>
    <n v="0"/>
    <n v="1040"/>
    <n v="152.83000000000001"/>
    <n v="1192.83"/>
    <s v="DD"/>
    <n v="65"/>
    <n v="16"/>
    <n v="0"/>
    <n v="0"/>
    <n v="0"/>
    <m/>
  </r>
  <r>
    <x v="16"/>
    <x v="55"/>
    <n v="500.12"/>
    <n v="16"/>
    <m/>
    <n v="552.76"/>
    <n v="52.64"/>
    <n v="0"/>
    <n v="552.76"/>
    <n v="81.83"/>
    <n v="634.59"/>
    <s v="DD"/>
    <e v="#DIV/0!"/>
    <m/>
    <e v="#DIV/0!"/>
    <e v="#VALUE!"/>
    <e v="#DIV/0!"/>
    <m/>
  </r>
  <r>
    <x v="16"/>
    <x v="55"/>
    <n v="700.03"/>
    <n v="29.76"/>
    <m/>
    <n v="773.31"/>
    <n v="73.680000000000007"/>
    <n v="0"/>
    <n v="773.71"/>
    <n v="114.54"/>
    <n v="888.25"/>
    <s v="DD"/>
    <e v="#DIV/0!"/>
    <m/>
    <e v="#DIV/0!"/>
    <e v="#VALUE!"/>
    <e v="#DIV/0!"/>
    <m/>
  </r>
  <r>
    <x v="16"/>
    <x v="55"/>
    <n v="300"/>
    <n v="12.75"/>
    <m/>
    <n v="331.58"/>
    <n v="31.58"/>
    <n v="0"/>
    <n v="331.58"/>
    <n v="49.09"/>
    <n v="380.67"/>
    <s v="DD"/>
    <e v="#DIV/0!"/>
    <m/>
    <e v="#DIV/0!"/>
    <e v="#VALUE!"/>
    <e v="#DIV/0!"/>
    <m/>
  </r>
  <r>
    <x v="101"/>
    <x v="55"/>
    <n v="2148.17"/>
    <n v="87.5"/>
    <m/>
    <n v="2372.5"/>
    <n v="224.33"/>
    <n v="0"/>
    <n v="2372.5"/>
    <n v="344.36"/>
    <n v="2716.86"/>
    <s v="DD"/>
    <n v="27.114285714285714"/>
    <n v="87.5"/>
    <n v="0"/>
    <n v="0"/>
    <n v="0"/>
    <m/>
  </r>
  <r>
    <x v="16"/>
    <x v="56"/>
    <n v="1981"/>
    <n v="80"/>
    <n v="216.33"/>
    <n v="1980.8"/>
    <n v="216.13"/>
    <n v="0"/>
    <n v="2197.13"/>
    <n v="381.57"/>
    <n v="2578.6999999999998"/>
    <n v="100134"/>
    <e v="#DIV/0!"/>
    <m/>
    <e v="#DIV/0!"/>
    <e v="#VALUE!"/>
    <e v="#DIV/0!"/>
    <n v="409.55"/>
  </r>
  <r>
    <x v="17"/>
    <x v="56"/>
    <n v="2163"/>
    <n v="80"/>
    <n v="1574.92"/>
    <n v="1980.8"/>
    <n v="807.72"/>
    <n v="585"/>
    <n v="3555.72"/>
    <n v="518.26"/>
    <n v="4073.98"/>
    <n v="100142"/>
    <n v="29.754979079497911"/>
    <n v="119.5"/>
    <n v="587.66083682008377"/>
    <n v="123.41"/>
    <n v="1028.4064644351465"/>
    <n v="546.07000000000005"/>
  </r>
  <r>
    <x v="18"/>
    <x v="56"/>
    <n v="2357"/>
    <n v="80"/>
    <n v="248.39"/>
    <n v="2357"/>
    <n v="248.39"/>
    <n v="0"/>
    <n v="2605.39"/>
    <n v="414.47"/>
    <n v="3019.86"/>
    <s v="DD"/>
    <n v="25.418439024390242"/>
    <n v="102.5"/>
    <n v="285.95743902439023"/>
    <n v="60.05"/>
    <n v="500.42551829268291"/>
    <m/>
  </r>
  <r>
    <x v="19"/>
    <x v="56"/>
    <n v="1818"/>
    <n v="49"/>
    <n v="1818"/>
    <m/>
    <n v="350.36"/>
    <n v="0"/>
    <n v="2168.36"/>
    <n v="205.14"/>
    <n v="2373.5"/>
    <s v="DD"/>
    <n v="21.642857142857142"/>
    <n v="84"/>
    <n v="97.392857142857139"/>
    <n v="19.48"/>
    <n v="170.4375"/>
    <m/>
  </r>
  <r>
    <x v="20"/>
    <x v="56"/>
    <n v="2150"/>
    <n v="80"/>
    <n v="721.78"/>
    <n v="1980.8"/>
    <n v="552.58000000000004"/>
    <n v="0"/>
    <n v="2702.58"/>
    <n v="416.19"/>
    <n v="3118.77"/>
    <s v="DD"/>
    <n v="28.904598930481281"/>
    <n v="93.5"/>
    <n v="195.10604278074865"/>
    <n v="39.020000000000003"/>
    <n v="341.43557486631016"/>
    <m/>
  </r>
  <r>
    <x v="21"/>
    <x v="56"/>
    <n v="1743"/>
    <n v="80"/>
    <n v="640.48"/>
    <n v="1980.8"/>
    <n v="528.28"/>
    <n v="350"/>
    <n v="2621.2800000000002"/>
    <n v="408.51"/>
    <n v="3029.79"/>
    <s v="DD"/>
    <n v="28.805274725274721"/>
    <n v="91"/>
    <n v="158.42901098901098"/>
    <n v="30.1"/>
    <n v="277.25076923076921"/>
    <m/>
  </r>
  <r>
    <x v="22"/>
    <x v="56"/>
    <n v="1984"/>
    <n v="80"/>
    <n v="542.04999999999995"/>
    <n v="1980.8"/>
    <n v="498.85"/>
    <n v="40"/>
    <n v="2522.85"/>
    <n v="399.2"/>
    <n v="2922.05"/>
    <s v="DD"/>
    <n v="28.668749999999999"/>
    <n v="88"/>
    <n v="114.675"/>
    <n v="21.79"/>
    <n v="200.68125000000001"/>
    <m/>
  </r>
  <r>
    <x v="23"/>
    <x v="56"/>
    <n v="1572"/>
    <n v="80"/>
    <n v="410.78"/>
    <n v="1980.8"/>
    <n v="459.58"/>
    <n v="360"/>
    <n v="2391.58"/>
    <n v="382.71"/>
    <n v="2774.29"/>
    <s v="DD"/>
    <n v="28.471190476190475"/>
    <n v="84"/>
    <n v="56.942380952380951"/>
    <n v="10.25"/>
    <n v="99.649166666666659"/>
    <m/>
  </r>
  <r>
    <x v="24"/>
    <x v="56"/>
    <n v="2116"/>
    <n v="80"/>
    <n v="673.29"/>
    <n v="1980.8"/>
    <n v="538.09"/>
    <n v="0"/>
    <n v="2654.09"/>
    <n v="407.12"/>
    <n v="3061.21"/>
    <s v="DD"/>
    <n v="28.848804347826089"/>
    <n v="92"/>
    <n v="173.09282608695653"/>
    <n v="31.16"/>
    <n v="302.91244565217391"/>
    <m/>
  </r>
  <r>
    <x v="27"/>
    <x v="56"/>
    <n v="2189"/>
    <n v="80"/>
    <n v="1308.0999999999999"/>
    <n v="1980.8"/>
    <n v="727.9"/>
    <n v="372"/>
    <n v="3288.9"/>
    <n v="466.07"/>
    <n v="3754.97"/>
    <s v="DD"/>
    <n v="31.472727272727269"/>
    <n v="104.5"/>
    <n v="385.54090909090905"/>
    <n v="65.540000000000006"/>
    <n v="674.6965909090909"/>
    <m/>
  </r>
  <r>
    <x v="28"/>
    <x v="56"/>
    <n v="2038"/>
    <n v="80"/>
    <n v="604.82000000000005"/>
    <n v="1980.8"/>
    <n v="517.62"/>
    <n v="30"/>
    <n v="2585.62"/>
    <n v="400.76"/>
    <n v="2986.38"/>
    <s v="DD"/>
    <n v="28.889608938547486"/>
    <n v="89.5"/>
    <n v="137.22564245810057"/>
    <n v="23.33"/>
    <n v="240.144874301676"/>
    <m/>
  </r>
  <r>
    <x v="16"/>
    <x v="56"/>
    <n v="813"/>
    <n v="50"/>
    <n v="64.489999999999995"/>
    <n v="1238"/>
    <n v="129.49"/>
    <n v="360"/>
    <n v="1302.49"/>
    <n v="221.33"/>
    <n v="1523.82"/>
    <s v="DD"/>
    <e v="#DIV/0!"/>
    <m/>
    <e v="#DIV/0!"/>
    <e v="#VALUE!"/>
    <e v="#DIV/0!"/>
    <m/>
  </r>
  <r>
    <x v="30"/>
    <x v="56"/>
    <n v="1741"/>
    <n v="77"/>
    <n v="60.87"/>
    <n v="1906.52"/>
    <n v="196.39"/>
    <n v="30"/>
    <n v="1967.39"/>
    <n v="337.29"/>
    <n v="2304.6799999999998"/>
    <s v="DD"/>
    <n v="25.55051948051948"/>
    <n v="77"/>
    <n v="0"/>
    <n v="0"/>
    <n v="0"/>
    <m/>
  </r>
  <r>
    <x v="31"/>
    <x v="56"/>
    <n v="1771"/>
    <n v="45"/>
    <n v="223.34"/>
    <n v="1771"/>
    <n v="223.34"/>
    <n v="0"/>
    <n v="1994.34"/>
    <n v="339.8"/>
    <n v="2334.14"/>
    <s v="DD"/>
    <n v="25.900519480519481"/>
    <n v="77"/>
    <n v="64.751298701298708"/>
    <n v="9.7100000000000009"/>
    <n v="113.31477272727274"/>
    <m/>
  </r>
  <r>
    <x v="32"/>
    <x v="56"/>
    <n v="1854"/>
    <n v="80"/>
    <n v="332.84"/>
    <n v="2254"/>
    <n v="332.88"/>
    <n v="399.96"/>
    <n v="2586.84"/>
    <n v="400.86"/>
    <n v="2987.7"/>
    <s v="DD"/>
    <n v="26.396326530612246"/>
    <n v="98"/>
    <n v="237.56693877551021"/>
    <n v="35.64"/>
    <n v="415.74214285714288"/>
    <m/>
  </r>
  <r>
    <x v="33"/>
    <x v="56"/>
    <n v="2514"/>
    <n v="80"/>
    <n v="409.93"/>
    <n v="2564"/>
    <n v="409.93"/>
    <n v="50"/>
    <n v="2973.93"/>
    <n v="436.81"/>
    <n v="3410.74"/>
    <s v="DD"/>
    <n v="26.672017937219728"/>
    <n v="111.5"/>
    <n v="420.08428251121069"/>
    <n v="63.01"/>
    <n v="735.14749439461866"/>
    <m/>
  </r>
  <r>
    <x v="34"/>
    <x v="56"/>
    <n v="1865"/>
    <n v="80"/>
    <n v="335.64"/>
    <n v="2265"/>
    <n v="335.64"/>
    <n v="400"/>
    <n v="2600.64"/>
    <n v="402.14"/>
    <n v="3002.78"/>
    <s v="DD"/>
    <n v="26.402436548223349"/>
    <n v="98.5"/>
    <n v="244.22253807106597"/>
    <n v="34.19"/>
    <n v="427.38944162436542"/>
    <m/>
  </r>
  <r>
    <x v="35"/>
    <x v="56"/>
    <n v="2047"/>
    <n v="50"/>
    <n v="285.45"/>
    <n v="2047"/>
    <n v="285.45"/>
    <n v="0"/>
    <n v="2332.4499999999998"/>
    <n v="377.23"/>
    <n v="2709.68"/>
    <s v="DD"/>
    <n v="26.207303370786516"/>
    <n v="89"/>
    <n v="131.03651685393257"/>
    <n v="18.350000000000001"/>
    <n v="229.313904494382"/>
    <m/>
  </r>
  <r>
    <x v="37"/>
    <x v="56"/>
    <n v="2156"/>
    <n v="80"/>
    <n v="407.93"/>
    <n v="2556"/>
    <n v="407.93"/>
    <n v="400"/>
    <n v="2963.93"/>
    <n v="435.88"/>
    <n v="3399.81"/>
    <s v="DD"/>
    <n v="27.830328638497651"/>
    <n v="106.5"/>
    <n v="368.75185446009385"/>
    <n v="47.94"/>
    <n v="645.31574530516423"/>
    <m/>
  </r>
  <r>
    <x v="38"/>
    <x v="56"/>
    <n v="2362"/>
    <n v="80"/>
    <n v="372.17"/>
    <n v="2412"/>
    <n v="372.17"/>
    <n v="50"/>
    <n v="2784.17"/>
    <n v="402.81"/>
    <n v="3186.98"/>
    <s v="DD"/>
    <n v="27.295784313725491"/>
    <n v="102"/>
    <n v="300.25362745098039"/>
    <n v="39.03"/>
    <n v="525.44384803921571"/>
    <m/>
  </r>
  <r>
    <x v="39"/>
    <x v="56"/>
    <n v="1713"/>
    <n v="49.5"/>
    <n v="294.39"/>
    <n v="2088"/>
    <n v="294.39"/>
    <n v="375"/>
    <n v="2382.39"/>
    <n v="342.79"/>
    <n v="2725.18"/>
    <s v="DD"/>
    <n v="27.383793103448273"/>
    <n v="87"/>
    <n v="130.07301724137929"/>
    <n v="15.61"/>
    <n v="227.62778017241376"/>
    <m/>
  </r>
  <r>
    <x v="40"/>
    <x v="56"/>
    <n v="2266"/>
    <n v="80"/>
    <n v="348.29"/>
    <n v="2316"/>
    <n v="348.29"/>
    <n v="50"/>
    <n v="2664.29"/>
    <n v="364.35"/>
    <n v="3028.64"/>
    <s v="DD"/>
    <n v="27.609222797927462"/>
    <n v="96.5"/>
    <n v="227.77608808290157"/>
    <n v="27.33"/>
    <n v="398.60815414507772"/>
    <m/>
  </r>
  <r>
    <x v="41"/>
    <x v="56"/>
    <n v="1688"/>
    <n v="51"/>
    <n v="294.41000000000003"/>
    <n v="2088"/>
    <n v="294.41000000000003"/>
    <n v="400"/>
    <n v="2382.41"/>
    <n v="342.8"/>
    <n v="2725.21"/>
    <s v="DD"/>
    <n v="27.384022988505745"/>
    <n v="87"/>
    <n v="150.61212643678161"/>
    <n v="16.57"/>
    <n v="263.57122126436781"/>
    <m/>
  </r>
  <r>
    <x v="42"/>
    <x v="56"/>
    <n v="1794"/>
    <n v="49.5"/>
    <n v="236.83"/>
    <n v="1824"/>
    <n v="236.83"/>
    <n v="30"/>
    <n v="2060.83"/>
    <n v="318.2"/>
    <n v="2379.0300000000002"/>
    <s v="DD"/>
    <n v="27.116184210526313"/>
    <n v="76"/>
    <n v="128.801875"/>
    <n v="14.17"/>
    <n v="225.40328124999999"/>
    <m/>
  </r>
  <r>
    <x v="43"/>
    <x v="56"/>
    <n v="2194"/>
    <n v="80"/>
    <n v="330.41"/>
    <n v="2244"/>
    <n v="330.41"/>
    <n v="50"/>
    <n v="2574.41"/>
    <n v="357.48"/>
    <n v="2931.89"/>
    <s v="DD"/>
    <n v="29.25465909090909"/>
    <n v="88"/>
    <n v="117.01863636363636"/>
    <n v="11.7"/>
    <n v="204.78261363636364"/>
    <m/>
  </r>
  <r>
    <x v="44"/>
    <x v="56"/>
    <n v="2644"/>
    <n v="49"/>
    <n v="424.28"/>
    <n v="2644"/>
    <n v="424.28"/>
    <n v="0"/>
    <n v="3068.28"/>
    <n v="463.99"/>
    <n v="3532.27"/>
    <s v="DD"/>
    <n v="37.879999999999995"/>
    <n v="81"/>
    <n v="170.45999999999998"/>
    <n v="17.05"/>
    <n v="298.30499999999995"/>
    <m/>
  </r>
  <r>
    <x v="45"/>
    <x v="56"/>
    <n v="2313"/>
    <n v="51.5"/>
    <m/>
    <n v="2413"/>
    <n v="296.41000000000003"/>
    <n v="100"/>
    <n v="2709.41"/>
    <n v="399.19"/>
    <n v="3108.6"/>
    <s v="DD"/>
    <n v="28.898203592814372"/>
    <n v="83.5"/>
    <n v="166.16467065868264"/>
    <n v="14.95"/>
    <n v="290.78817365269464"/>
    <m/>
  </r>
  <r>
    <x v="46"/>
    <x v="56"/>
    <n v="2268"/>
    <n v="80"/>
    <m/>
    <n v="2268"/>
    <n v="270.45"/>
    <n v="0"/>
    <n v="2538.4499999999998"/>
    <n v="380.34"/>
    <n v="2918.79"/>
    <s v="DD"/>
    <n v="24"/>
    <n v="94.5"/>
    <n v="174"/>
    <n v="15.66"/>
    <n v="304.5"/>
    <m/>
  </r>
  <r>
    <x v="47"/>
    <x v="56"/>
    <n v="2050"/>
    <n v="80"/>
    <m/>
    <n v="2100"/>
    <n v="231.55"/>
    <n v="50"/>
    <n v="2331.5500000000002"/>
    <n v="307.51"/>
    <n v="2639.06"/>
    <s v="DD"/>
    <n v="24"/>
    <n v="87.5"/>
    <n v="90"/>
    <n v="7.2"/>
    <n v="157.5"/>
    <m/>
  </r>
  <r>
    <x v="48"/>
    <x v="56"/>
    <n v="1798"/>
    <n v="41"/>
    <m/>
    <n v="1848"/>
    <n v="186.44"/>
    <n v="50"/>
    <n v="2034.44"/>
    <n v="284.10000000000002"/>
    <n v="2318.54"/>
    <s v="DD"/>
    <n v="24"/>
    <n v="77"/>
    <n v="12"/>
    <n v="0.96"/>
    <n v="21"/>
    <m/>
  </r>
  <r>
    <x v="49"/>
    <x v="56"/>
    <n v="2264"/>
    <n v="80"/>
    <m/>
    <n v="2314"/>
    <n v="269.86"/>
    <n v="50"/>
    <n v="2583.86"/>
    <n v="327.38"/>
    <n v="2911.24"/>
    <s v="DD"/>
    <n v="26"/>
    <n v="89"/>
    <n v="117"/>
    <n v="9.36"/>
    <n v="204.75"/>
    <m/>
  </r>
  <r>
    <x v="50"/>
    <x v="56"/>
    <n v="2055.52"/>
    <n v="79"/>
    <m/>
    <n v="2370"/>
    <n v="279.48"/>
    <n v="35"/>
    <n v="2370"/>
    <n v="331.19"/>
    <n v="2701.19"/>
    <s v="DD"/>
    <n v="30"/>
    <n v="79"/>
    <n v="0"/>
    <n v="0"/>
    <n v="0"/>
    <m/>
  </r>
  <r>
    <x v="99"/>
    <x v="56"/>
    <n v="1088.32"/>
    <n v="24"/>
    <m/>
    <n v="1200"/>
    <n v="111.68"/>
    <n v="0"/>
    <n v="1200"/>
    <n v="167.69"/>
    <n v="1367.69"/>
    <s v="DD"/>
    <n v="50"/>
    <n v="24"/>
    <n v="0"/>
    <n v="0"/>
    <n v="0"/>
    <m/>
  </r>
  <r>
    <x v="16"/>
    <x v="56"/>
    <n v="500.08"/>
    <n v="18.38"/>
    <m/>
    <n v="551.4"/>
    <n v="51.32"/>
    <n v="0"/>
    <n v="551.4"/>
    <n v="76.459999999999994"/>
    <n v="627.86"/>
    <s v="DD"/>
    <e v="#DIV/0!"/>
    <m/>
    <e v="#DIV/0!"/>
    <e v="#VALUE!"/>
    <e v="#DIV/0!"/>
    <m/>
  </r>
  <r>
    <x v="16"/>
    <x v="56"/>
    <n v="700"/>
    <n v="25.73"/>
    <m/>
    <n v="771.83"/>
    <n v="71.83"/>
    <n v="0"/>
    <n v="771.83"/>
    <n v="107.03"/>
    <n v="878.86"/>
    <s v="DD"/>
    <e v="#DIV/0!"/>
    <m/>
    <e v="#DIV/0!"/>
    <e v="#VALUE!"/>
    <e v="#DIV/0!"/>
    <m/>
  </r>
  <r>
    <x v="100"/>
    <x v="56"/>
    <n v="435.34"/>
    <n v="16"/>
    <m/>
    <n v="480"/>
    <n v="44.66"/>
    <n v="0"/>
    <n v="480"/>
    <n v="66.56"/>
    <n v="546.55999999999995"/>
    <s v="DD"/>
    <n v="30"/>
    <n v="16"/>
    <n v="0"/>
    <n v="0"/>
    <n v="0"/>
    <m/>
  </r>
  <r>
    <x v="101"/>
    <x v="56"/>
    <n v="1921.08"/>
    <n v="72"/>
    <m/>
    <n v="2160"/>
    <n v="238.92"/>
    <n v="0"/>
    <n v="2160"/>
    <n v="299.52999999999997"/>
    <n v="2459.5300000000002"/>
    <s v="DD"/>
    <n v="30"/>
    <n v="72"/>
    <n v="0"/>
    <n v="0"/>
    <n v="0"/>
    <m/>
  </r>
  <r>
    <x v="77"/>
    <x v="56"/>
    <n v="0"/>
    <n v="48"/>
    <m/>
    <n v="1440"/>
    <m/>
    <m/>
    <m/>
    <m/>
    <m/>
    <m/>
    <n v="28.38"/>
    <n v="48"/>
    <n v="1362.24"/>
    <n v="54.49"/>
    <n v="2383.92"/>
    <m/>
  </r>
  <r>
    <x v="35"/>
    <x v="57"/>
    <n v="621"/>
    <n v="34.5"/>
    <n v="73.48"/>
    <n v="621"/>
    <n v="73.48"/>
    <n v="0"/>
    <n v="694.48"/>
    <n v="138.91999999999999"/>
    <n v="833.4"/>
    <s v="DD"/>
    <n v="20.129855072463769"/>
    <n v="34.5"/>
    <n v="0"/>
    <n v="0"/>
    <n v="0"/>
    <n v="546.07000000000005"/>
  </r>
  <r>
    <x v="37"/>
    <x v="57"/>
    <n v="1812"/>
    <n v="80"/>
    <n v="266.92"/>
    <n v="1962"/>
    <n v="266.92"/>
    <n v="150"/>
    <n v="2228.92"/>
    <n v="380.98"/>
    <n v="2609.9"/>
    <s v="DD"/>
    <n v="20.448807339449541"/>
    <n v="109"/>
    <n v="296.50770642201832"/>
    <n v="38.549999999999997"/>
    <n v="518.8884862385321"/>
    <m/>
  </r>
  <r>
    <x v="38"/>
    <x v="57"/>
    <n v="1810"/>
    <n v="80"/>
    <n v="280.64999999999998"/>
    <n v="2025"/>
    <n v="280.64999999999998"/>
    <n v="215"/>
    <n v="2305.65"/>
    <n v="388.56"/>
    <n v="2694.21"/>
    <s v="DD"/>
    <n v="20.494666666666667"/>
    <n v="112.5"/>
    <n v="333.03833333333336"/>
    <n v="43.29"/>
    <n v="582.81708333333336"/>
    <m/>
  </r>
  <r>
    <x v="39"/>
    <x v="57"/>
    <n v="1710"/>
    <n v="80"/>
    <n v="211.96"/>
    <n v="1710"/>
    <n v="211.96"/>
    <n v="0"/>
    <n v="1921.96"/>
    <n v="349.72"/>
    <n v="2271.6799999999998"/>
    <s v="DD"/>
    <n v="20.231157894736842"/>
    <n v="95"/>
    <n v="151.73368421052632"/>
    <n v="18.21"/>
    <n v="265.53394736842108"/>
    <m/>
  </r>
  <r>
    <x v="40"/>
    <x v="57"/>
    <n v="1840"/>
    <n v="80"/>
    <n v="251.23"/>
    <n v="1890"/>
    <n v="251.23"/>
    <n v="50"/>
    <n v="2141.23"/>
    <n v="359.47"/>
    <n v="2500.6999999999998"/>
    <s v="DD"/>
    <n v="20.392666666666667"/>
    <n v="105"/>
    <n v="254.90833333333333"/>
    <n v="30.59"/>
    <n v="446.08958333333334"/>
    <m/>
  </r>
  <r>
    <x v="41"/>
    <x v="57"/>
    <n v="1959"/>
    <n v="80"/>
    <n v="266.26"/>
    <n v="1959"/>
    <n v="266.26"/>
    <n v="0"/>
    <n v="2225.2600000000002"/>
    <n v="367.26"/>
    <n v="2592.52"/>
    <s v="DD"/>
    <n v="22.141890547263685"/>
    <n v="100.5"/>
    <n v="226.95437810945276"/>
    <n v="24.96"/>
    <n v="397.17016169154232"/>
    <m/>
  </r>
  <r>
    <x v="42"/>
    <x v="57"/>
    <n v="1463"/>
    <n v="49.5"/>
    <n v="171.69"/>
    <n v="1463"/>
    <n v="171.69"/>
    <n v="0"/>
    <n v="1634.69"/>
    <n v="312.42"/>
    <n v="1947.11"/>
    <s v="DD"/>
    <n v="21.229740259740261"/>
    <n v="77"/>
    <n v="100.84126623376623"/>
    <n v="11.09"/>
    <n v="176.47221590909092"/>
    <m/>
  </r>
  <r>
    <x v="61"/>
    <x v="57"/>
    <n v="1871"/>
    <n v="80"/>
    <n v="247.07"/>
    <n v="1871"/>
    <n v="247.07"/>
    <n v="0"/>
    <n v="2118.0700000000002"/>
    <n v="357.3"/>
    <n v="2475.37"/>
    <n v="100191"/>
    <n v="21.503248730964469"/>
    <n v="98.5"/>
    <n v="198.90505076142134"/>
    <n v="19.89"/>
    <n v="348.08383883248734"/>
    <m/>
  </r>
  <r>
    <x v="44"/>
    <x v="57"/>
    <n v="684"/>
    <n v="36"/>
    <n v="79.45"/>
    <n v="684"/>
    <n v="79.45"/>
    <n v="0"/>
    <n v="763.45"/>
    <n v="147.74"/>
    <n v="911.19"/>
    <s v="DD"/>
    <n v="21.206944444444446"/>
    <n v="36"/>
    <n v="0"/>
    <n v="0"/>
    <n v="0"/>
    <m/>
  </r>
  <r>
    <x v="46"/>
    <x v="57"/>
    <n v="1508"/>
    <n v="52.5"/>
    <m/>
    <n v="1520"/>
    <n v="162.62"/>
    <n v="12"/>
    <n v="1682.62"/>
    <n v="310.86"/>
    <n v="1993.48"/>
    <s v="DD"/>
    <n v="20"/>
    <n v="76"/>
    <n v="125"/>
    <n v="11.25"/>
    <n v="218.75"/>
    <m/>
  </r>
  <r>
    <x v="47"/>
    <x v="57"/>
    <n v="1885"/>
    <n v="80"/>
    <m/>
    <n v="1920"/>
    <n v="199.33"/>
    <n v="35"/>
    <n v="2119.33"/>
    <n v="302.31"/>
    <n v="2421.64"/>
    <s v="DD"/>
    <n v="20"/>
    <n v="96"/>
    <n v="160"/>
    <n v="12.8"/>
    <n v="280"/>
    <m/>
  </r>
  <r>
    <x v="48"/>
    <x v="57"/>
    <n v="1960"/>
    <n v="80"/>
    <m/>
    <n v="1960"/>
    <n v="206.49"/>
    <n v="0"/>
    <n v="2166.4899999999998"/>
    <n v="306.26"/>
    <n v="2472.75"/>
    <s v="DD"/>
    <n v="20"/>
    <n v="98"/>
    <n v="180"/>
    <n v="14.4"/>
    <n v="315"/>
    <m/>
  </r>
  <r>
    <x v="49"/>
    <x v="57"/>
    <n v="1120"/>
    <n v="41.5"/>
    <m/>
    <n v="1120"/>
    <n v="122.18"/>
    <n v="0"/>
    <n v="1242.18"/>
    <n v="221.48"/>
    <n v="1463.66"/>
    <s v="DD"/>
    <n v="18.983050847457626"/>
    <n v="59"/>
    <n v="14.23728813559322"/>
    <n v="1.1399999999999999"/>
    <n v="24.915254237288135"/>
    <m/>
  </r>
  <r>
    <x v="50"/>
    <x v="57"/>
    <n v="1731.29"/>
    <n v="45"/>
    <m/>
    <n v="1935"/>
    <n v="203.71"/>
    <n v="0"/>
    <n v="1935"/>
    <n v="297.81"/>
    <n v="2232.81"/>
    <s v="DD"/>
    <n v="23.035714285714285"/>
    <n v="84"/>
    <n v="11.517857142857142"/>
    <n v="0.81"/>
    <n v="20.15625"/>
    <m/>
  </r>
  <r>
    <x v="99"/>
    <x v="57"/>
    <n v="812.03"/>
    <n v="24"/>
    <m/>
    <n v="900"/>
    <n v="87.97"/>
    <n v="0"/>
    <n v="900"/>
    <n v="139.82"/>
    <n v="1039.82"/>
    <s v="DD"/>
    <n v="37.5"/>
    <n v="24"/>
    <n v="0"/>
    <n v="0"/>
    <n v="0"/>
    <m/>
  </r>
  <r>
    <x v="16"/>
    <x v="57"/>
    <n v="500.02"/>
    <n v="24.63"/>
    <m/>
    <n v="554.17999999999995"/>
    <n v="54.16"/>
    <n v="0"/>
    <n v="554.17999999999995"/>
    <n v="88.09"/>
    <n v="642.27"/>
    <s v="DD"/>
    <e v="#DIV/0!"/>
    <m/>
    <e v="#DIV/0!"/>
    <e v="#VALUE!"/>
    <e v="#DIV/0!"/>
    <m/>
  </r>
  <r>
    <x v="16"/>
    <x v="57"/>
    <n v="700.08"/>
    <n v="34.479999999999997"/>
    <m/>
    <n v="775.91"/>
    <n v="75.83"/>
    <n v="0"/>
    <n v="775.91"/>
    <n v="123.34"/>
    <n v="899.25"/>
    <s v="DD"/>
    <e v="#DIV/0!"/>
    <m/>
    <e v="#DIV/0!"/>
    <e v="#VALUE!"/>
    <e v="#DIV/0!"/>
    <m/>
  </r>
  <r>
    <x v="100"/>
    <x v="57"/>
    <n v="812.03"/>
    <n v="40"/>
    <m/>
    <n v="900"/>
    <n v="87.97"/>
    <n v="0"/>
    <n v="900"/>
    <n v="143.06"/>
    <n v="1043.06"/>
    <s v="DD"/>
    <n v="22.5"/>
    <n v="40"/>
    <n v="0"/>
    <n v="0"/>
    <n v="0"/>
    <m/>
  </r>
  <r>
    <x v="101"/>
    <x v="57"/>
    <n v="1471.8"/>
    <n v="40.5"/>
    <m/>
    <n v="1631.25"/>
    <n v="159.44999999999999"/>
    <n v="0"/>
    <n v="1631.25"/>
    <n v="259.31"/>
    <n v="1890.56"/>
    <s v="DD"/>
    <n v="22.5"/>
    <n v="72.5"/>
    <n v="5.625"/>
    <n v="0.28000000000000003"/>
    <n v="9.84375"/>
    <m/>
  </r>
  <r>
    <x v="77"/>
    <x v="57"/>
    <n v="1749.81"/>
    <n v="80"/>
    <m/>
    <n v="2172"/>
    <m/>
    <m/>
    <m/>
    <m/>
    <m/>
    <m/>
    <n v="21.9"/>
    <n v="80"/>
    <n v="1752"/>
    <n v="70.08"/>
    <n v="3066"/>
    <m/>
  </r>
  <r>
    <x v="80"/>
    <x v="57"/>
    <m/>
    <n v="94"/>
    <m/>
    <m/>
    <m/>
    <m/>
    <m/>
    <m/>
    <m/>
    <m/>
    <n v="21.9"/>
    <n v="94"/>
    <n v="2211.9"/>
    <n v="88.48"/>
    <n v="3870.8250000000003"/>
    <m/>
  </r>
  <r>
    <x v="78"/>
    <x v="57"/>
    <m/>
    <n v="96"/>
    <m/>
    <m/>
    <m/>
    <m/>
    <m/>
    <m/>
    <m/>
    <m/>
    <n v="21.9"/>
    <n v="96"/>
    <n v="2277.6"/>
    <n v="91.1"/>
    <n v="3985.7999999999997"/>
    <m/>
  </r>
  <r>
    <x v="16"/>
    <x v="58"/>
    <n v="2798"/>
    <n v="80"/>
    <n v="275.58999999999997"/>
    <n v="2800"/>
    <n v="277.79000000000002"/>
    <n v="0"/>
    <n v="3075.79"/>
    <n v="469.97"/>
    <n v="3545.76"/>
    <s v="DD"/>
    <e v="#DIV/0!"/>
    <m/>
    <e v="#DIV/0!"/>
    <e v="#VALUE!"/>
    <e v="#DIV/0!"/>
    <n v="409.55"/>
  </r>
  <r>
    <x v="16"/>
    <x v="58"/>
    <n v="1610"/>
    <n v="70"/>
    <n v="75.430000000000007"/>
    <n v="1890"/>
    <n v="355.43"/>
    <n v="0"/>
    <n v="1965.43"/>
    <n v="338.2"/>
    <n v="2303.63"/>
    <s v="DD"/>
    <e v="#DIV/0!"/>
    <m/>
    <e v="#DIV/0!"/>
    <e v="#VALUE!"/>
    <e v="#DIV/0!"/>
    <m/>
  </r>
  <r>
    <x v="16"/>
    <x v="58"/>
    <n v="2599"/>
    <n v="80"/>
    <n v="402.9"/>
    <n v="2800"/>
    <n v="603.9"/>
    <n v="0"/>
    <n v="3202.9"/>
    <n v="475.28"/>
    <n v="3678.18"/>
    <s v="DD"/>
    <e v="#DIV/0!"/>
    <m/>
    <e v="#DIV/0!"/>
    <e v="#VALUE!"/>
    <e v="#DIV/0!"/>
    <m/>
  </r>
  <r>
    <x v="16"/>
    <x v="58"/>
    <n v="1058"/>
    <n v="46.5"/>
    <n v="102.61"/>
    <n v="1162.5"/>
    <n v="207.11"/>
    <n v="0"/>
    <n v="1265.1099999999999"/>
    <n v="220.58"/>
    <n v="1485.69"/>
    <s v="DD"/>
    <e v="#DIV/0!"/>
    <m/>
    <e v="#DIV/0!"/>
    <e v="#VALUE!"/>
    <e v="#DIV/0!"/>
    <m/>
  </r>
  <r>
    <x v="16"/>
    <x v="58"/>
    <n v="1776.42"/>
    <n v="80"/>
    <n v="55"/>
    <n v="1920"/>
    <n v="198.58"/>
    <n v="0"/>
    <n v="1975"/>
    <n v="359.23"/>
    <n v="2334.23"/>
    <s v="DD"/>
    <e v="#DIV/0!"/>
    <m/>
    <e v="#DIV/0!"/>
    <e v="#VALUE!"/>
    <e v="#DIV/0!"/>
    <m/>
  </r>
  <r>
    <x v="16"/>
    <x v="58"/>
    <n v="198.58"/>
    <n v="0"/>
    <n v="198.58"/>
    <m/>
    <n v="17.05"/>
    <n v="0"/>
    <n v="215.63"/>
    <n v="21.69"/>
    <n v="237.32"/>
    <s v="DD"/>
    <e v="#DIV/0!"/>
    <m/>
    <e v="#DIV/0!"/>
    <e v="#VALUE!"/>
    <e v="#DIV/0!"/>
    <m/>
  </r>
  <r>
    <x v="16"/>
    <x v="58"/>
    <n v="3000"/>
    <n v="80"/>
    <n v="943.48"/>
    <n v="2800"/>
    <n v="743.48"/>
    <n v="0"/>
    <n v="3743.48"/>
    <n v="535.94000000000005"/>
    <n v="4279.42"/>
    <s v="DD"/>
    <e v="#DIV/0!"/>
    <m/>
    <e v="#DIV/0!"/>
    <e v="#VALUE!"/>
    <e v="#DIV/0!"/>
    <m/>
  </r>
  <r>
    <x v="16"/>
    <x v="58"/>
    <n v="2537"/>
    <n v="80"/>
    <n v="263.83999999999997"/>
    <n v="2537"/>
    <n v="263.83999999999997"/>
    <n v="0"/>
    <n v="2800.84"/>
    <n v="425.49"/>
    <n v="3226.33"/>
    <s v="DD"/>
    <e v="#DIV/0!"/>
    <m/>
    <e v="#DIV/0!"/>
    <e v="#VALUE!"/>
    <e v="#DIV/0!"/>
    <m/>
  </r>
  <r>
    <x v="16"/>
    <x v="58"/>
    <n v="2662"/>
    <n v="0"/>
    <m/>
    <n v="2662"/>
    <n v="574.87"/>
    <n v="0"/>
    <n v="3236.87"/>
    <n v="306.22000000000003"/>
    <n v="3543.09"/>
    <s v="DD"/>
    <e v="#DIV/0!"/>
    <m/>
    <e v="#DIV/0!"/>
    <e v="#VALUE!"/>
    <e v="#DIV/0!"/>
    <m/>
  </r>
  <r>
    <x v="16"/>
    <x v="58"/>
    <n v="2662"/>
    <n v="80"/>
    <n v="489.89"/>
    <n v="2800"/>
    <n v="627.89"/>
    <n v="0"/>
    <n v="3289.89"/>
    <n v="471.76"/>
    <n v="3761.65"/>
    <s v="DD"/>
    <e v="#DIV/0!"/>
    <m/>
    <e v="#DIV/0!"/>
    <e v="#VALUE!"/>
    <e v="#DIV/0!"/>
    <m/>
  </r>
  <r>
    <x v="16"/>
    <x v="58"/>
    <n v="2700"/>
    <n v="80"/>
    <n v="537.35"/>
    <n v="2800"/>
    <n v="637.35"/>
    <n v="0"/>
    <n v="3337.35"/>
    <n v="476.26"/>
    <n v="3813.61"/>
    <s v="DD"/>
    <e v="#DIV/0!"/>
    <m/>
    <e v="#DIV/0!"/>
    <e v="#VALUE!"/>
    <e v="#DIV/0!"/>
    <m/>
  </r>
  <r>
    <x v="16"/>
    <x v="58"/>
    <n v="2262"/>
    <n v="80"/>
    <m/>
    <n v="2800"/>
    <n v="538"/>
    <n v="0"/>
    <n v="2800"/>
    <n v="425.42"/>
    <n v="3225.42"/>
    <s v="DD"/>
    <e v="#DIV/0!"/>
    <m/>
    <e v="#DIV/0!"/>
    <e v="#VALUE!"/>
    <e v="#DIV/0!"/>
    <m/>
  </r>
  <r>
    <x v="16"/>
    <x v="58"/>
    <n v="2262"/>
    <n v="80"/>
    <m/>
    <n v="2800"/>
    <n v="538"/>
    <n v="0"/>
    <n v="2800"/>
    <n v="420.66"/>
    <n v="3220.66"/>
    <s v="DD"/>
    <e v="#DIV/0!"/>
    <m/>
    <e v="#DIV/0!"/>
    <e v="#VALUE!"/>
    <e v="#DIV/0!"/>
    <m/>
  </r>
  <r>
    <x v="16"/>
    <x v="58"/>
    <n v="2162"/>
    <n v="80"/>
    <m/>
    <n v="2800"/>
    <n v="638"/>
    <n v="0"/>
    <n v="2800"/>
    <n v="420.66"/>
    <n v="3220.66"/>
    <s v="DD"/>
    <e v="#DIV/0!"/>
    <m/>
    <e v="#DIV/0!"/>
    <e v="#VALUE!"/>
    <e v="#DIV/0!"/>
    <m/>
  </r>
  <r>
    <x v="16"/>
    <x v="58"/>
    <n v="2300"/>
    <n v="80"/>
    <n v="37.94"/>
    <n v="2800"/>
    <n v="537.94000000000005"/>
    <n v="0"/>
    <n v="2837.94"/>
    <n v="424.18"/>
    <n v="3262.12"/>
    <s v="DD"/>
    <e v="#DIV/0!"/>
    <m/>
    <e v="#DIV/0!"/>
    <e v="#VALUE!"/>
    <e v="#DIV/0!"/>
    <m/>
  </r>
  <r>
    <x v="28"/>
    <x v="58"/>
    <n v="1950"/>
    <n v="51"/>
    <m/>
    <n v="2730"/>
    <n v="780"/>
    <n v="0"/>
    <n v="2730"/>
    <n v="410.15"/>
    <n v="3140.15"/>
    <s v="DD"/>
    <n v="53.529411764705884"/>
    <n v="51"/>
    <n v="0"/>
    <n v="0"/>
    <n v="0"/>
    <n v="546.07000000000005"/>
  </r>
  <r>
    <x v="29"/>
    <x v="58"/>
    <n v="2992"/>
    <n v="78"/>
    <n v="801.93"/>
    <n v="2730"/>
    <n v="519.92999999999995"/>
    <n v="20"/>
    <n v="3531.93"/>
    <n v="484.64"/>
    <n v="4016.57"/>
    <s v="DD"/>
    <n v="29.310622406639002"/>
    <n v="120.5"/>
    <n v="593.54010373443975"/>
    <n v="94.97"/>
    <n v="1038.6951815352695"/>
    <m/>
  </r>
  <r>
    <x v="30"/>
    <x v="58"/>
    <n v="1732"/>
    <n v="26"/>
    <n v="203.57"/>
    <n v="1750"/>
    <n v="191.57"/>
    <n v="30"/>
    <n v="1953.57"/>
    <n v="321.95999999999998"/>
    <n v="2275.5300000000002"/>
    <s v="DD"/>
    <n v="75.137307692307687"/>
    <n v="26"/>
    <n v="0"/>
    <n v="0"/>
    <n v="0"/>
    <m/>
  </r>
  <r>
    <x v="31"/>
    <x v="58"/>
    <n v="1647"/>
    <n v="68.5"/>
    <n v="204.64"/>
    <n v="1712"/>
    <n v="204.64"/>
    <n v="65"/>
    <n v="1916.64"/>
    <n v="314.51"/>
    <n v="2231.15"/>
    <s v="DD"/>
    <n v="27.980145985401457"/>
    <n v="68.5"/>
    <n v="0"/>
    <n v="0"/>
    <n v="0"/>
    <m/>
  </r>
  <r>
    <x v="32"/>
    <x v="58"/>
    <n v="2862"/>
    <n v="80"/>
    <n v="483.91"/>
    <n v="2862"/>
    <n v="483.97"/>
    <n v="-0.06"/>
    <n v="3345.91"/>
    <n v="471.37"/>
    <n v="3817.28"/>
    <s v="DD"/>
    <n v="30.417363636363635"/>
    <n v="110"/>
    <n v="456.26045454545454"/>
    <n v="68.44"/>
    <n v="798.45579545454541"/>
    <m/>
  </r>
  <r>
    <x v="33"/>
    <x v="58"/>
    <n v="2362"/>
    <n v="80"/>
    <n v="372.16"/>
    <n v="2412"/>
    <n v="372.16"/>
    <n v="50"/>
    <n v="2784.16"/>
    <n v="419.19"/>
    <n v="3203.35"/>
    <s v="DD"/>
    <n v="27.430147783251229"/>
    <n v="101.5"/>
    <n v="294.87408866995071"/>
    <n v="44.23"/>
    <n v="516.02965517241375"/>
    <m/>
  </r>
  <r>
    <x v="34"/>
    <x v="58"/>
    <n v="3300"/>
    <n v="80"/>
    <n v="605.24"/>
    <n v="3350"/>
    <n v="605.24"/>
    <n v="50"/>
    <n v="3955.24"/>
    <n v="503.04"/>
    <n v="4458.28"/>
    <s v="DD"/>
    <n v="29.516716417910445"/>
    <n v="134"/>
    <n v="796.95134328358199"/>
    <n v="111.57"/>
    <n v="1394.6648507462685"/>
    <m/>
  </r>
  <r>
    <x v="35"/>
    <x v="58"/>
    <n v="2350"/>
    <n v="54"/>
    <n v="356.76"/>
    <n v="2350"/>
    <n v="356.76"/>
    <n v="0"/>
    <n v="2706.76"/>
    <n v="367.61"/>
    <n v="3074.37"/>
    <s v="DD"/>
    <n v="28.949304812834228"/>
    <n v="93.5"/>
    <n v="202.64513368983961"/>
    <n v="28.37"/>
    <n v="354.6289839572193"/>
    <m/>
  </r>
  <r>
    <x v="37"/>
    <x v="58"/>
    <n v="2950"/>
    <n v="80"/>
    <n v="505.84"/>
    <n v="2950"/>
    <n v="505.84"/>
    <n v="0"/>
    <n v="3455.84"/>
    <n v="424.91"/>
    <n v="3880.75"/>
    <s v="DD"/>
    <n v="29.286779661016951"/>
    <n v="118"/>
    <n v="556.44881355932205"/>
    <n v="72.34"/>
    <n v="973.78542372881361"/>
    <m/>
  </r>
  <r>
    <x v="38"/>
    <x v="58"/>
    <n v="3180"/>
    <n v="80"/>
    <n v="580.4"/>
    <n v="3250"/>
    <n v="580.4"/>
    <n v="70"/>
    <n v="3830.4"/>
    <n v="453.57"/>
    <n v="4283.97"/>
    <s v="DD"/>
    <n v="29.464615384615385"/>
    <n v="130"/>
    <n v="736.61538461538464"/>
    <n v="95.76"/>
    <n v="1289.0769230769231"/>
    <m/>
  </r>
  <r>
    <x v="39"/>
    <x v="58"/>
    <n v="2335"/>
    <n v="80"/>
    <n v="362.96"/>
    <n v="2375"/>
    <n v="362.96"/>
    <n v="40"/>
    <n v="2737.96"/>
    <n v="369.99"/>
    <n v="3107.95"/>
    <s v="DD"/>
    <n v="28.820631578947367"/>
    <n v="95"/>
    <n v="216.15473684210525"/>
    <n v="25.94"/>
    <n v="378.2707894736842"/>
    <m/>
  </r>
  <r>
    <x v="40"/>
    <x v="58"/>
    <n v="2950"/>
    <n v="80"/>
    <n v="518.27"/>
    <n v="3000"/>
    <n v="518.27"/>
    <n v="50"/>
    <n v="3518.27"/>
    <n v="429.69"/>
    <n v="3947.96"/>
    <s v="DD"/>
    <n v="29.318916666666667"/>
    <n v="120"/>
    <n v="586.37833333333333"/>
    <n v="70.37"/>
    <n v="1026.1620833333334"/>
    <m/>
  </r>
  <r>
    <x v="41"/>
    <x v="58"/>
    <n v="1837"/>
    <n v="56"/>
    <n v="239.66"/>
    <n v="1837"/>
    <n v="239.66"/>
    <n v="0"/>
    <n v="2076.66"/>
    <n v="319.41000000000003"/>
    <n v="2396.0700000000002"/>
    <s v="DD"/>
    <n v="28.44739726027397"/>
    <n v="73"/>
    <n v="227.57917808219176"/>
    <n v="25.03"/>
    <n v="398.2635616438356"/>
    <m/>
  </r>
  <r>
    <x v="42"/>
    <x v="58"/>
    <n v="2150"/>
    <n v="58"/>
    <n v="307.92"/>
    <n v="2150"/>
    <n v="307.92"/>
    <n v="0"/>
    <n v="2457.92"/>
    <n v="348.57"/>
    <n v="2806.49"/>
    <s v="DD"/>
    <n v="28.580465116279072"/>
    <n v="86"/>
    <n v="257.22418604651165"/>
    <n v="28.29"/>
    <n v="450.14232558139537"/>
    <m/>
  </r>
  <r>
    <x v="43"/>
    <x v="58"/>
    <n v="2887"/>
    <n v="80"/>
    <n v="490.18"/>
    <n v="2887"/>
    <n v="490.18"/>
    <n v="0"/>
    <n v="3377.18"/>
    <n v="418.89"/>
    <n v="3796.07"/>
    <s v="DD"/>
    <n v="29.239653679653678"/>
    <n v="115.5"/>
    <n v="519.00385281385275"/>
    <n v="51.9"/>
    <n v="908.25674242424225"/>
    <m/>
  </r>
  <r>
    <x v="44"/>
    <x v="58"/>
    <n v="2622"/>
    <n v="56.5"/>
    <n v="418.81"/>
    <n v="2622"/>
    <n v="418.81"/>
    <n v="0"/>
    <n v="3040.81"/>
    <n v="461.27"/>
    <n v="3502.08"/>
    <s v="DD"/>
    <n v="34.359435028248583"/>
    <n v="88.5"/>
    <n v="283.4653389830508"/>
    <n v="28.35"/>
    <n v="496.06434322033891"/>
    <m/>
  </r>
  <r>
    <x v="45"/>
    <x v="58"/>
    <n v="2958"/>
    <n v="52.5"/>
    <m/>
    <n v="1458"/>
    <n v="390.66"/>
    <n v="0"/>
    <n v="3348.66"/>
    <n v="408.94"/>
    <n v="3757.6"/>
    <s v="DD"/>
    <n v="27.771428571428572"/>
    <n v="52.5"/>
    <n v="173.57142857142858"/>
    <n v="15.62"/>
    <n v="303.75"/>
    <m/>
  </r>
  <r>
    <x v="46"/>
    <x v="58"/>
    <n v="3255"/>
    <n v="80"/>
    <m/>
    <n v="3267"/>
    <n v="463.84"/>
    <n v="12"/>
    <n v="3730.84"/>
    <n v="470.05"/>
    <n v="4200.8900000000003"/>
    <s v="DD"/>
    <n v="27"/>
    <n v="121"/>
    <n v="553.5"/>
    <n v="49.82"/>
    <n v="968.625"/>
    <m/>
  </r>
  <r>
    <x v="47"/>
    <x v="58"/>
    <n v="2578"/>
    <n v="80"/>
    <m/>
    <n v="2578"/>
    <n v="317.89999999999998"/>
    <n v="0"/>
    <n v="2895.9"/>
    <n v="351.93"/>
    <n v="3247.83"/>
    <s v="DD"/>
    <n v="26.994764397905758"/>
    <n v="95.5"/>
    <n v="209.20942408376962"/>
    <n v="16.739999999999998"/>
    <n v="366.11649214659684"/>
    <m/>
  </r>
  <r>
    <x v="48"/>
    <x v="58"/>
    <n v="3486"/>
    <n v="80"/>
    <m/>
    <n v="3486"/>
    <n v="498.6"/>
    <n v="0"/>
    <n v="3984.6"/>
    <n v="436.26"/>
    <n v="4420.8599999999997"/>
    <s v="DD"/>
    <n v="28.691358024691358"/>
    <n v="121.5"/>
    <n v="595.34567901234561"/>
    <n v="47.63"/>
    <n v="1041.8549382716049"/>
    <m/>
  </r>
  <r>
    <x v="49"/>
    <x v="58"/>
    <n v="2310"/>
    <n v="80"/>
    <m/>
    <n v="2310"/>
    <n v="269.14999999999998"/>
    <n v="0"/>
    <n v="2579.15"/>
    <n v="327.02"/>
    <n v="2906.17"/>
    <s v="DD"/>
    <n v="28"/>
    <n v="82.5"/>
    <n v="35"/>
    <n v="2.8"/>
    <n v="61.25"/>
    <m/>
  </r>
  <r>
    <x v="50"/>
    <x v="58"/>
    <n v="2511.87"/>
    <n v="87"/>
    <m/>
    <n v="2896"/>
    <n v="384.13"/>
    <n v="0"/>
    <n v="2896"/>
    <n v="391.29"/>
    <n v="3287.29"/>
    <s v="DD"/>
    <n v="33.287356321839077"/>
    <n v="87"/>
    <n v="0"/>
    <n v="0"/>
    <n v="0"/>
    <m/>
  </r>
  <r>
    <x v="99"/>
    <x v="58"/>
    <n v="1162"/>
    <n v="16"/>
    <m/>
    <n v="1280"/>
    <n v="118"/>
    <n v="0"/>
    <n v="1280"/>
    <n v="175.13"/>
    <n v="1455.13"/>
    <s v="DD"/>
    <n v="80"/>
    <n v="16"/>
    <n v="0"/>
    <n v="0"/>
    <n v="0"/>
    <m/>
  </r>
  <r>
    <x v="16"/>
    <x v="58"/>
    <n v="500.25"/>
    <n v="17.22"/>
    <m/>
    <n v="551.04"/>
    <n v="50.79"/>
    <n v="0"/>
    <n v="551.04"/>
    <n v="74.319999999999993"/>
    <n v="625.36"/>
    <s v="DD"/>
    <e v="#DIV/0!"/>
    <m/>
    <e v="#DIV/0!"/>
    <e v="#VALUE!"/>
    <e v="#DIV/0!"/>
    <m/>
  </r>
  <r>
    <x v="16"/>
    <x v="58"/>
    <n v="700.11"/>
    <n v="24.1"/>
    <m/>
    <n v="771.2"/>
    <n v="71.09"/>
    <n v="0"/>
    <n v="771.2"/>
    <n v="104.01"/>
    <n v="875.21"/>
    <s v="DD"/>
    <e v="#DIV/0!"/>
    <m/>
    <e v="#DIV/0!"/>
    <e v="#VALUE!"/>
    <e v="#DIV/0!"/>
    <m/>
  </r>
  <r>
    <x v="100"/>
    <x v="58"/>
    <n v="1583.23"/>
    <n v="56"/>
    <m/>
    <n v="1744"/>
    <n v="160.77000000000001"/>
    <n v="0"/>
    <n v="1744"/>
    <n v="235.21"/>
    <n v="1979.21"/>
    <s v="DD"/>
    <n v="31.142857142857142"/>
    <n v="56"/>
    <n v="0"/>
    <n v="0"/>
    <n v="0"/>
    <m/>
  </r>
  <r>
    <x v="101"/>
    <x v="58"/>
    <n v="3661.13"/>
    <n v="109.5"/>
    <m/>
    <n v="4100.25"/>
    <n v="633.27"/>
    <n v="0"/>
    <n v="4294.3999999999996"/>
    <n v="518.95000000000005"/>
    <n v="4813.3500000000004"/>
    <s v="DD"/>
    <n v="37.106334841628957"/>
    <n v="110.5"/>
    <n v="18.553167420814479"/>
    <n v="0.93"/>
    <n v="32.468042986425338"/>
    <m/>
  </r>
  <r>
    <x v="77"/>
    <x v="58"/>
    <m/>
    <n v="87"/>
    <m/>
    <n v="4149.75"/>
    <m/>
    <m/>
    <m/>
    <m/>
    <m/>
    <m/>
    <n v="34.39"/>
    <n v="87"/>
    <n v="3198.27"/>
    <n v="127.93"/>
    <n v="5596.9724999999999"/>
    <m/>
  </r>
  <r>
    <x v="80"/>
    <x v="58"/>
    <m/>
    <n v="93"/>
    <m/>
    <m/>
    <m/>
    <m/>
    <m/>
    <m/>
    <m/>
    <m/>
    <n v="34.39"/>
    <n v="93"/>
    <n v="3421.8049999999998"/>
    <n v="136.87"/>
    <n v="5988.1587499999996"/>
    <m/>
  </r>
  <r>
    <x v="78"/>
    <x v="58"/>
    <m/>
    <n v="75"/>
    <m/>
    <m/>
    <m/>
    <m/>
    <m/>
    <m/>
    <m/>
    <m/>
    <n v="34.39"/>
    <n v="75"/>
    <n v="2613.6400000000003"/>
    <n v="104.55"/>
    <n v="4573.8700000000008"/>
    <m/>
  </r>
  <r>
    <x v="49"/>
    <x v="59"/>
    <n v="720"/>
    <n v="40"/>
    <m/>
    <n v="720"/>
    <n v="73.739999999999995"/>
    <n v="0"/>
    <n v="793.74"/>
    <n v="127.41"/>
    <n v="921.15"/>
    <n v="100202"/>
    <n v="18"/>
    <n v="40"/>
    <n v="0"/>
    <n v="0"/>
    <n v="0"/>
    <n v="546.07000000000005"/>
  </r>
  <r>
    <x v="50"/>
    <x v="59"/>
    <n v="1588.31"/>
    <n v="45"/>
    <m/>
    <n v="1763"/>
    <n v="174.69"/>
    <n v="0"/>
    <n v="1763"/>
    <n v="292.39999999999998"/>
    <n v="2055.4"/>
    <n v="100205"/>
    <n v="20.988095238095237"/>
    <n v="84"/>
    <n v="0"/>
    <n v="0"/>
    <n v="0"/>
    <m/>
  </r>
  <r>
    <x v="99"/>
    <x v="59"/>
    <n v="738.36"/>
    <n v="24"/>
    <m/>
    <n v="890"/>
    <n v="81.64"/>
    <n v="0"/>
    <n v="820"/>
    <n v="137.30000000000001"/>
    <n v="957.3"/>
    <n v="100208"/>
    <n v="37.083333333333336"/>
    <n v="24"/>
    <n v="0"/>
    <n v="0"/>
    <n v="0"/>
    <m/>
  </r>
  <r>
    <x v="16"/>
    <x v="59"/>
    <n v="500.23"/>
    <n v="27.1"/>
    <m/>
    <n v="555.54999999999995"/>
    <n v="55.32"/>
    <n v="0"/>
    <n v="555.54999999999995"/>
    <n v="96.05"/>
    <n v="651.6"/>
    <n v="100211"/>
    <e v="#DIV/0!"/>
    <m/>
    <e v="#DIV/0!"/>
    <e v="#VALUE!"/>
    <e v="#DIV/0!"/>
    <m/>
  </r>
  <r>
    <x v="16"/>
    <x v="59"/>
    <n v="700.06"/>
    <n v="37.92"/>
    <m/>
    <n v="777.46"/>
    <n v="77.400000000000006"/>
    <n v="0"/>
    <n v="777.46"/>
    <n v="134.38999999999999"/>
    <n v="911.85"/>
    <n v="100215"/>
    <e v="#DIV/0!"/>
    <m/>
    <e v="#DIV/0!"/>
    <e v="#VALUE!"/>
    <e v="#DIV/0!"/>
    <m/>
  </r>
  <r>
    <x v="16"/>
    <x v="59"/>
    <n v="300"/>
    <n v="16.25"/>
    <m/>
    <n v="333.17"/>
    <n v="33.17"/>
    <n v="0"/>
    <n v="333.17"/>
    <n v="57.61"/>
    <n v="390.78"/>
    <n v="100218"/>
    <e v="#DIV/0!"/>
    <m/>
    <e v="#DIV/0!"/>
    <e v="#VALUE!"/>
    <e v="#DIV/0!"/>
    <m/>
  </r>
  <r>
    <x v="101"/>
    <x v="59"/>
    <n v="886.03"/>
    <n v="48"/>
    <m/>
    <n v="984"/>
    <n v="97.97"/>
    <n v="0"/>
    <n v="984"/>
    <n v="170.11"/>
    <n v="1154.1099999999999"/>
    <n v="100221"/>
    <n v="20.5"/>
    <n v="48"/>
    <n v="0"/>
    <n v="0"/>
    <n v="0"/>
    <m/>
  </r>
  <r>
    <x v="80"/>
    <x v="59"/>
    <m/>
    <n v="89"/>
    <m/>
    <m/>
    <m/>
    <m/>
    <m/>
    <m/>
    <m/>
    <m/>
    <n v="24.14"/>
    <n v="89"/>
    <n v="2257.09"/>
    <n v="90.28"/>
    <n v="3949.9075000000003"/>
    <m/>
  </r>
  <r>
    <x v="78"/>
    <x v="59"/>
    <m/>
    <n v="106.5"/>
    <m/>
    <m/>
    <m/>
    <m/>
    <m/>
    <m/>
    <m/>
    <m/>
    <n v="24.14"/>
    <n v="106.5"/>
    <n v="2890.7650000000003"/>
    <n v="115.63"/>
    <n v="5058.8387500000008"/>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7">
  <r>
    <x v="0"/>
    <x v="0"/>
    <m/>
    <n v="44"/>
    <m/>
    <m/>
    <m/>
    <m/>
    <m/>
    <m/>
    <m/>
    <m/>
    <m/>
    <n v="44"/>
    <n v="0"/>
    <n v="0"/>
    <n v="0"/>
    <n v="546.07000000000005"/>
    <m/>
    <m/>
  </r>
  <r>
    <x v="1"/>
    <x v="0"/>
    <m/>
    <n v="106"/>
    <m/>
    <m/>
    <m/>
    <m/>
    <m/>
    <m/>
    <m/>
    <m/>
    <m/>
    <n v="106"/>
    <n v="0"/>
    <n v="0"/>
    <n v="0"/>
    <m/>
    <m/>
    <m/>
  </r>
  <r>
    <x v="2"/>
    <x v="0"/>
    <m/>
    <n v="103"/>
    <m/>
    <m/>
    <m/>
    <m/>
    <m/>
    <m/>
    <m/>
    <m/>
    <m/>
    <n v="103"/>
    <n v="0"/>
    <n v="0"/>
    <n v="0"/>
    <m/>
    <m/>
    <m/>
  </r>
  <r>
    <x v="3"/>
    <x v="0"/>
    <m/>
    <n v="72"/>
    <m/>
    <m/>
    <m/>
    <m/>
    <m/>
    <m/>
    <m/>
    <m/>
    <m/>
    <n v="72"/>
    <n v="0"/>
    <n v="0"/>
    <n v="0"/>
    <m/>
    <m/>
    <m/>
  </r>
  <r>
    <x v="4"/>
    <x v="0"/>
    <m/>
    <n v="87"/>
    <m/>
    <m/>
    <m/>
    <m/>
    <m/>
    <m/>
    <m/>
    <m/>
    <m/>
    <n v="87"/>
    <n v="0"/>
    <n v="0"/>
    <n v="0"/>
    <m/>
    <m/>
    <m/>
  </r>
  <r>
    <x v="5"/>
    <x v="0"/>
    <m/>
    <n v="89"/>
    <m/>
    <m/>
    <m/>
    <m/>
    <m/>
    <m/>
    <m/>
    <m/>
    <m/>
    <n v="89"/>
    <n v="0"/>
    <n v="0"/>
    <n v="0"/>
    <m/>
    <m/>
    <m/>
  </r>
  <r>
    <x v="6"/>
    <x v="0"/>
    <m/>
    <n v="95"/>
    <m/>
    <m/>
    <m/>
    <m/>
    <m/>
    <m/>
    <m/>
    <m/>
    <m/>
    <n v="95"/>
    <n v="0"/>
    <n v="0"/>
    <n v="0"/>
    <m/>
    <m/>
    <m/>
  </r>
  <r>
    <x v="7"/>
    <x v="0"/>
    <m/>
    <n v="83"/>
    <m/>
    <m/>
    <m/>
    <m/>
    <m/>
    <m/>
    <m/>
    <m/>
    <m/>
    <n v="83"/>
    <n v="0"/>
    <n v="0"/>
    <n v="0"/>
    <m/>
    <m/>
    <m/>
  </r>
  <r>
    <x v="8"/>
    <x v="0"/>
    <m/>
    <n v="111"/>
    <m/>
    <m/>
    <m/>
    <m/>
    <m/>
    <m/>
    <m/>
    <m/>
    <m/>
    <n v="111"/>
    <n v="0"/>
    <n v="0"/>
    <n v="0"/>
    <m/>
    <m/>
    <m/>
  </r>
  <r>
    <x v="9"/>
    <x v="0"/>
    <m/>
    <n v="99.75"/>
    <m/>
    <m/>
    <m/>
    <m/>
    <m/>
    <m/>
    <m/>
    <m/>
    <m/>
    <n v="99.75"/>
    <n v="0"/>
    <n v="0"/>
    <n v="0"/>
    <m/>
    <m/>
    <m/>
  </r>
  <r>
    <x v="10"/>
    <x v="0"/>
    <m/>
    <n v="114"/>
    <m/>
    <m/>
    <m/>
    <m/>
    <m/>
    <m/>
    <m/>
    <m/>
    <m/>
    <n v="114"/>
    <n v="0"/>
    <n v="0"/>
    <n v="0"/>
    <m/>
    <m/>
    <m/>
  </r>
  <r>
    <x v="11"/>
    <x v="0"/>
    <m/>
    <n v="53"/>
    <m/>
    <m/>
    <m/>
    <m/>
    <m/>
    <m/>
    <m/>
    <m/>
    <m/>
    <n v="53"/>
    <n v="0"/>
    <n v="0"/>
    <n v="0"/>
    <m/>
    <m/>
    <m/>
  </r>
  <r>
    <x v="10"/>
    <x v="1"/>
    <m/>
    <n v="30"/>
    <m/>
    <m/>
    <m/>
    <m/>
    <m/>
    <m/>
    <m/>
    <m/>
    <n v="21.87"/>
    <n v="30"/>
    <n v="656.1"/>
    <m/>
    <n v="984.15000000000009"/>
    <m/>
    <n v="21.87"/>
    <m/>
  </r>
  <r>
    <x v="11"/>
    <x v="1"/>
    <m/>
    <n v="108"/>
    <m/>
    <m/>
    <m/>
    <m/>
    <m/>
    <m/>
    <m/>
    <m/>
    <n v="21.87"/>
    <n v="108"/>
    <n v="2668.1400000000003"/>
    <m/>
    <n v="4002.2100000000005"/>
    <m/>
    <m/>
    <m/>
  </r>
  <r>
    <x v="12"/>
    <x v="1"/>
    <n v="2052"/>
    <n v="80"/>
    <n v="188"/>
    <n v="2080"/>
    <n v="216"/>
    <n v="0"/>
    <n v="2268"/>
    <n v="388.71"/>
    <n v="2656.71"/>
    <s v="DD"/>
    <n v="19.894736842105264"/>
    <n v="114"/>
    <n v="338.21052631578948"/>
    <n v="71.02"/>
    <n v="507.31578947368422"/>
    <n v="409.55"/>
    <m/>
    <m/>
  </r>
  <r>
    <x v="13"/>
    <x v="1"/>
    <n v="856"/>
    <n v="52"/>
    <n v="29.33"/>
    <n v="1440"/>
    <n v="173.33"/>
    <n v="440"/>
    <n v="1469.33"/>
    <n v="292.27"/>
    <n v="1761.6"/>
    <s v="DD"/>
    <n v="20.407361111111111"/>
    <n v="72"/>
    <n v="122.44416666666666"/>
    <n v="25.71"/>
    <n v="183.66624999999999"/>
    <m/>
    <m/>
    <m/>
  </r>
  <r>
    <x v="14"/>
    <x v="1"/>
    <n v="1463"/>
    <n v="80"/>
    <n v="157.31"/>
    <n v="1520"/>
    <n v="214.31"/>
    <n v="0"/>
    <n v="1677.31"/>
    <n v="329.29"/>
    <n v="2006.6"/>
    <s v="DD"/>
    <n v="20.966374999999999"/>
    <n v="80"/>
    <n v="0"/>
    <n v="0"/>
    <n v="0"/>
    <m/>
    <m/>
    <m/>
  </r>
  <r>
    <x v="15"/>
    <x v="1"/>
    <n v="1108"/>
    <n v="80"/>
    <n v="23.67"/>
    <n v="1760"/>
    <n v="235.67"/>
    <n v="440"/>
    <n v="1783.67"/>
    <n v="339.98"/>
    <n v="2123.65"/>
    <s v="DD"/>
    <n v="20.740348837209304"/>
    <n v="86"/>
    <n v="62.221046511627911"/>
    <n v="12.44"/>
    <n v="93.331569767441863"/>
    <m/>
    <m/>
    <m/>
  </r>
  <r>
    <x v="16"/>
    <x v="1"/>
    <n v="1872"/>
    <n v="80"/>
    <n v="0"/>
    <n v="2080"/>
    <n v="208"/>
    <n v="0"/>
    <n v="2080"/>
    <n v="369.79"/>
    <n v="2449.79"/>
    <s v="DD"/>
    <n v="18.90909090909091"/>
    <n v="110"/>
    <n v="283.63636363636363"/>
    <e v="#VALUE!"/>
    <n v="425.45454545454544"/>
    <m/>
    <m/>
    <m/>
  </r>
  <r>
    <x v="17"/>
    <x v="1"/>
    <n v="1640"/>
    <n v="80"/>
    <n v="362.29"/>
    <n v="2080"/>
    <n v="362.29"/>
    <n v="440"/>
    <n v="2442.29"/>
    <n v="406.25"/>
    <n v="2848.54"/>
    <s v="DD"/>
    <n v="22.202636363636362"/>
    <n v="110"/>
    <n v="333.03954545454542"/>
    <n v="63.28"/>
    <n v="499.55931818181813"/>
    <m/>
    <m/>
    <m/>
  </r>
  <r>
    <x v="18"/>
    <x v="1"/>
    <n v="1665"/>
    <n v="80"/>
    <n v="208.31"/>
    <n v="1890"/>
    <n v="208.31"/>
    <n v="225"/>
    <n v="2098.31"/>
    <n v="363.19"/>
    <n v="2461.5"/>
    <s v="DD"/>
    <n v="21.08854271356784"/>
    <n v="99.5"/>
    <n v="205.61329145728644"/>
    <n v="37.01"/>
    <n v="308.41993718592965"/>
    <m/>
    <m/>
    <m/>
  </r>
  <r>
    <x v="19"/>
    <x v="1"/>
    <n v="1814"/>
    <n v="0"/>
    <n v="1814"/>
    <n v="0"/>
    <n v="243.14"/>
    <n v="0"/>
    <n v="2057.14"/>
    <n v="194.61"/>
    <n v="2251.75"/>
    <s v="DD"/>
    <n v="18.994764397905758"/>
    <n v="95.5"/>
    <n v="147.20942408376962"/>
    <n v="26.5"/>
    <n v="220.81413612565444"/>
    <m/>
    <m/>
    <m/>
  </r>
  <r>
    <x v="20"/>
    <x v="1"/>
    <n v="1890"/>
    <n v="80"/>
    <n v="125.05"/>
    <n v="2080"/>
    <n v="315.05"/>
    <n v="0"/>
    <n v="2205.0500000000002"/>
    <n v="369.13"/>
    <n v="2574.1799999999998"/>
    <s v="DD"/>
    <n v="22.161306532663318"/>
    <n v="99.5"/>
    <n v="216.07273869346736"/>
    <n v="36.729999999999997"/>
    <n v="324.10910804020102"/>
    <m/>
    <m/>
    <m/>
  </r>
  <r>
    <x v="21"/>
    <x v="1"/>
    <n v="1748"/>
    <n v="75"/>
    <n v="0"/>
    <n v="1950"/>
    <n v="202"/>
    <n v="0"/>
    <n v="1950"/>
    <n v="334.97"/>
    <n v="2284.9699999999998"/>
    <s v="DD"/>
    <n v="21.195652173913043"/>
    <n v="92"/>
    <n v="127.17391304347825"/>
    <n v="21.62"/>
    <n v="190.76086956521738"/>
    <m/>
    <m/>
    <m/>
  </r>
  <r>
    <x v="22"/>
    <x v="1"/>
    <n v="1748"/>
    <n v="80"/>
    <n v="0"/>
    <n v="2080"/>
    <n v="332"/>
    <n v="0"/>
    <n v="2080"/>
    <n v="357.31"/>
    <n v="2437.31"/>
    <s v="DD"/>
    <n v="22.857142857142858"/>
    <n v="91"/>
    <n v="125.71428571428572"/>
    <n v="20.11"/>
    <n v="188.57142857142858"/>
    <m/>
    <m/>
    <m/>
  </r>
  <r>
    <x v="23"/>
    <x v="1"/>
    <n v="1672"/>
    <n v="80"/>
    <n v="0"/>
    <n v="2080"/>
    <n v="408"/>
    <n v="0"/>
    <n v="2080"/>
    <n v="353.77"/>
    <n v="2433.77"/>
    <s v="DD"/>
    <n v="23.636363636363637"/>
    <n v="88"/>
    <n v="94.545454545454547"/>
    <n v="15.13"/>
    <n v="141.81818181818181"/>
    <m/>
    <m/>
    <m/>
  </r>
  <r>
    <x v="24"/>
    <x v="1"/>
    <n v="1263"/>
    <n v="58.5"/>
    <n v="0"/>
    <n v="2080"/>
    <n v="817"/>
    <n v="0"/>
    <n v="2080"/>
    <n v="353.78"/>
    <n v="2433.7800000000002"/>
    <s v="DD"/>
    <n v="31.278195488721803"/>
    <n v="66.5"/>
    <n v="289.32330827067665"/>
    <n v="46.29"/>
    <n v="433.98496240601497"/>
    <m/>
    <m/>
    <m/>
  </r>
  <r>
    <x v="16"/>
    <x v="2"/>
    <n v="1008.2"/>
    <n v="80"/>
    <m/>
    <m/>
    <n v="191.8"/>
    <n v="0"/>
    <n v="1200"/>
    <n v="281.26"/>
    <n v="1481.26"/>
    <m/>
    <e v="#DIV/0!"/>
    <m/>
    <e v="#DIV/0!"/>
    <e v="#VALUE!"/>
    <e v="#DIV/0!"/>
    <n v="409.55"/>
    <m/>
    <m/>
  </r>
  <r>
    <x v="16"/>
    <x v="2"/>
    <n v="1008.2"/>
    <n v="80"/>
    <m/>
    <m/>
    <n v="191.8"/>
    <n v="0"/>
    <n v="1200"/>
    <n v="281.26"/>
    <n v="1481.26"/>
    <m/>
    <e v="#DIV/0!"/>
    <m/>
    <e v="#DIV/0!"/>
    <e v="#VALUE!"/>
    <e v="#DIV/0!"/>
    <m/>
    <m/>
    <m/>
  </r>
  <r>
    <x v="25"/>
    <x v="3"/>
    <m/>
    <n v="107.5"/>
    <m/>
    <m/>
    <m/>
    <m/>
    <m/>
    <m/>
    <m/>
    <m/>
    <m/>
    <m/>
    <n v="0"/>
    <n v="0"/>
    <n v="0"/>
    <m/>
    <m/>
    <m/>
  </r>
  <r>
    <x v="18"/>
    <x v="4"/>
    <n v="1591"/>
    <n v="80"/>
    <n v="199.83"/>
    <n v="1791"/>
    <n v="199.83"/>
    <n v="200"/>
    <n v="1990.83"/>
    <n v="360.82"/>
    <n v="2351.65"/>
    <n v="100152"/>
    <n v="20.008341708542712"/>
    <n v="99.5"/>
    <n v="195.08133165829145"/>
    <n v="35.11"/>
    <n v="292.62199748743717"/>
    <n v="409.55"/>
    <n v="20.57"/>
    <m/>
  </r>
  <r>
    <x v="26"/>
    <x v="4"/>
    <n v="1171"/>
    <n v="80"/>
    <n v="184.39"/>
    <n v="1611"/>
    <n v="184.39"/>
    <n v="440"/>
    <n v="1795.39"/>
    <n v="341.16"/>
    <n v="2136.5500000000002"/>
    <n v="100162"/>
    <n v="20.060223463687148"/>
    <n v="89.5"/>
    <n v="95.286061452513948"/>
    <n v="17.149999999999999"/>
    <n v="142.92909217877093"/>
    <m/>
    <m/>
    <m/>
  </r>
  <r>
    <x v="20"/>
    <x v="4"/>
    <n v="785"/>
    <n v="46"/>
    <n v="320.07"/>
    <n v="1395"/>
    <n v="320.07"/>
    <n v="610"/>
    <n v="1715.07"/>
    <n v="333.07"/>
    <n v="2048.14"/>
    <s v="DD"/>
    <n v="22.129935483870966"/>
    <n v="77.5"/>
    <n v="66.389806451612898"/>
    <n v="11.29"/>
    <n v="99.58470967741934"/>
    <m/>
    <m/>
    <m/>
  </r>
  <r>
    <x v="21"/>
    <x v="4"/>
    <n v="1090"/>
    <n v="46"/>
    <n v="353.63"/>
    <n v="1530"/>
    <n v="353.63"/>
    <n v="440"/>
    <n v="1883.63"/>
    <n v="347.73"/>
    <n v="2231.36"/>
    <s v="DD"/>
    <n v="22.160352941176473"/>
    <n v="85"/>
    <n v="66.481058823529423"/>
    <n v="11.3"/>
    <n v="99.721588235294135"/>
    <m/>
    <m/>
    <m/>
  </r>
  <r>
    <x v="22"/>
    <x v="4"/>
    <n v="1084"/>
    <n v="80"/>
    <n v="367.04"/>
    <n v="1584"/>
    <n v="367.04"/>
    <n v="500"/>
    <n v="1951.04"/>
    <n v="345.1"/>
    <n v="2296.14"/>
    <s v="DD"/>
    <n v="22.170909090909092"/>
    <n v="88"/>
    <n v="88.683636363636367"/>
    <n v="14.19"/>
    <n v="133.02545454545455"/>
    <m/>
    <m/>
    <m/>
  </r>
  <r>
    <x v="23"/>
    <x v="4"/>
    <n v="1638"/>
    <n v="80"/>
    <n v="384.87"/>
    <n v="1638"/>
    <n v="384.87"/>
    <n v="0"/>
    <n v="2022.87"/>
    <n v="348.46"/>
    <n v="2371.33"/>
    <s v="DD"/>
    <n v="22.229340659340657"/>
    <n v="91"/>
    <n v="122.26137362637361"/>
    <n v="19.559999999999999"/>
    <n v="183.39206043956042"/>
    <m/>
    <m/>
    <m/>
  </r>
  <r>
    <x v="24"/>
    <x v="4"/>
    <n v="1692"/>
    <n v="80"/>
    <n v="407.9"/>
    <n v="1692"/>
    <n v="407.9"/>
    <n v="0"/>
    <n v="2099.9"/>
    <n v="355.62"/>
    <n v="2455.52"/>
    <s v="DD"/>
    <n v="22.339361702127661"/>
    <n v="94"/>
    <n v="156.37553191489363"/>
    <n v="25.02"/>
    <n v="234.56329787234046"/>
    <m/>
    <m/>
    <m/>
  </r>
  <r>
    <x v="27"/>
    <x v="4"/>
    <n v="1243"/>
    <n v="80"/>
    <n v="404.07"/>
    <n v="1683"/>
    <n v="404.07"/>
    <n v="440"/>
    <n v="2087.0700000000002"/>
    <n v="354.43"/>
    <n v="2441.5"/>
    <s v="DD"/>
    <n v="19.876857142857144"/>
    <n v="105"/>
    <n v="248.46071428571429"/>
    <n v="37.270000000000003"/>
    <n v="372.69107142857143"/>
    <m/>
    <m/>
    <m/>
  </r>
  <r>
    <x v="28"/>
    <x v="4"/>
    <n v="1512"/>
    <n v="80"/>
    <n v="349.15"/>
    <n v="1512"/>
    <n v="349.15"/>
    <n v="0"/>
    <n v="1861.15"/>
    <n v="333.44"/>
    <n v="2194.59"/>
    <s v="DD"/>
    <n v="20.794972067039108"/>
    <n v="89.5"/>
    <n v="98.776117318435766"/>
    <n v="14.82"/>
    <n v="148.16417597765366"/>
    <m/>
    <m/>
    <m/>
  </r>
  <r>
    <x v="29"/>
    <x v="4"/>
    <n v="1549"/>
    <n v="80"/>
    <n v="272.8"/>
    <n v="1989"/>
    <n v="272.8"/>
    <n v="440"/>
    <n v="2261.8000000000002"/>
    <n v="370.66"/>
    <n v="2632.46"/>
    <s v="DD"/>
    <n v="20.468778280542988"/>
    <n v="110.5"/>
    <n v="312.14886877828059"/>
    <n v="43.7"/>
    <n v="468.22330316742091"/>
    <m/>
    <m/>
    <m/>
  </r>
  <r>
    <x v="30"/>
    <x v="4"/>
    <n v="1530"/>
    <n v="80"/>
    <n v="177.42"/>
    <n v="1530"/>
    <n v="177.42"/>
    <n v="0"/>
    <n v="1707.42"/>
    <n v="319.14999999999998"/>
    <n v="2026.57"/>
    <s v="DD"/>
    <n v="20.087294117647058"/>
    <n v="85"/>
    <n v="50.218235294117648"/>
    <n v="7.03"/>
    <n v="75.327352941176471"/>
    <m/>
    <m/>
    <m/>
  </r>
  <r>
    <x v="31"/>
    <x v="4"/>
    <n v="1458"/>
    <n v="49"/>
    <n v="171.26"/>
    <n v="1458"/>
    <n v="171.26"/>
    <n v="0"/>
    <n v="1629.26"/>
    <n v="311.91000000000003"/>
    <n v="1941.17"/>
    <s v="DD"/>
    <n v="20.11432098765432"/>
    <n v="81"/>
    <n v="90.514444444444436"/>
    <n v="11.77"/>
    <n v="135.77166666666665"/>
    <m/>
    <m/>
    <m/>
  </r>
  <r>
    <x v="32"/>
    <x v="4"/>
    <n v="1485"/>
    <n v="44.5"/>
    <n v="173.56"/>
    <n v="1485"/>
    <n v="173.57"/>
    <n v="-0.01"/>
    <n v="1658.56"/>
    <n v="314.62"/>
    <n v="1973.18"/>
    <s v="DD"/>
    <n v="20.103757575757577"/>
    <n v="82.5"/>
    <n v="45.233454545454549"/>
    <n v="5.88"/>
    <n v="67.850181818181824"/>
    <m/>
    <m/>
    <m/>
  </r>
  <r>
    <x v="33"/>
    <x v="4"/>
    <n v="927"/>
    <n v="80"/>
    <n v="125.67"/>
    <n v="927"/>
    <n v="125.67"/>
    <n v="0"/>
    <n v="1052.67"/>
    <n v="258.33"/>
    <n v="1311"/>
    <s v="DD"/>
    <n v="16"/>
    <n v="106.5"/>
    <n v="212"/>
    <n v="25.44"/>
    <n v="318"/>
    <m/>
    <m/>
    <m/>
  </r>
  <r>
    <x v="34"/>
    <x v="4"/>
    <n v="1872"/>
    <n v="80"/>
    <n v="247.29"/>
    <n v="1872"/>
    <n v="247.29"/>
    <n v="0"/>
    <n v="2119.29"/>
    <n v="357.42"/>
    <n v="2476.71"/>
    <s v="DD"/>
    <n v="20.377788461538461"/>
    <n v="104"/>
    <n v="244.53346153846155"/>
    <n v="29.34"/>
    <n v="366.80019230769233"/>
    <m/>
    <m/>
    <m/>
  </r>
  <r>
    <x v="35"/>
    <x v="4"/>
    <n v="900"/>
    <n v="50"/>
    <n v="106.08"/>
    <n v="900"/>
    <n v="106.08"/>
    <n v="0"/>
    <n v="1006.08"/>
    <n v="193.81"/>
    <n v="1199.8900000000001"/>
    <s v="DD"/>
    <n v="20.121600000000001"/>
    <n v="50"/>
    <n v="100.608"/>
    <n v="11.07"/>
    <n v="150.91200000000001"/>
    <m/>
    <m/>
    <m/>
  </r>
  <r>
    <x v="16"/>
    <x v="5"/>
    <n v="2217"/>
    <n v="80"/>
    <n v="0"/>
    <n v="2217"/>
    <n v="438.59"/>
    <n v="0"/>
    <n v="2655.59"/>
    <n v="379.8"/>
    <n v="3035.39"/>
    <s v="DD"/>
    <e v="#DIV/0!"/>
    <m/>
    <e v="#DIV/0!"/>
    <e v="#VALUE!"/>
    <e v="#DIV/0!"/>
    <n v="409.55"/>
    <m/>
    <m/>
  </r>
  <r>
    <x v="16"/>
    <x v="5"/>
    <n v="1696"/>
    <n v="80"/>
    <n v="0"/>
    <n v="1746"/>
    <n v="316.35000000000002"/>
    <n v="50"/>
    <n v="2062.35"/>
    <n v="285.10000000000002"/>
    <n v="2347.4499999999998"/>
    <s v="DD"/>
    <e v="#DIV/0!"/>
    <m/>
    <e v="#DIV/0!"/>
    <e v="#VALUE!"/>
    <e v="#DIV/0!"/>
    <m/>
    <m/>
    <m/>
  </r>
  <r>
    <x v="16"/>
    <x v="5"/>
    <n v="1795"/>
    <n v="80"/>
    <n v="0"/>
    <n v="1845"/>
    <n v="336.06"/>
    <n v="50"/>
    <n v="2181.06"/>
    <n v="294.89999999999998"/>
    <n v="2475.96"/>
    <s v="DD"/>
    <e v="#DIV/0!"/>
    <m/>
    <e v="#DIV/0!"/>
    <e v="#VALUE!"/>
    <e v="#DIV/0!"/>
    <m/>
    <m/>
    <m/>
  </r>
  <r>
    <x v="16"/>
    <x v="5"/>
    <n v="1417"/>
    <n v="80"/>
    <n v="0"/>
    <n v="1467"/>
    <n v="260.81"/>
    <n v="50"/>
    <n v="1727.81"/>
    <n v="255.85"/>
    <n v="1983.66"/>
    <s v="DD"/>
    <e v="#DIV/0!"/>
    <m/>
    <e v="#DIV/0!"/>
    <e v="#VALUE!"/>
    <e v="#DIV/0!"/>
    <m/>
    <m/>
    <m/>
  </r>
  <r>
    <x v="16"/>
    <x v="5"/>
    <n v="1420.3"/>
    <n v="79"/>
    <n v="0"/>
    <n v="1777.5"/>
    <n v="322.2"/>
    <n v="35"/>
    <n v="1777.5"/>
    <n v="276.14"/>
    <n v="2053.64"/>
    <s v="DD"/>
    <e v="#DIV/0!"/>
    <m/>
    <e v="#DIV/0!"/>
    <e v="#VALUE!"/>
    <e v="#DIV/0!"/>
    <m/>
    <m/>
    <m/>
  </r>
  <r>
    <x v="16"/>
    <x v="5"/>
    <n v="812.03"/>
    <n v="40"/>
    <n v="360"/>
    <n v="540"/>
    <n v="87.97"/>
    <n v="0"/>
    <n v="900"/>
    <n v="139.82"/>
    <n v="1039.82"/>
    <s v="DD"/>
    <e v="#DIV/0!"/>
    <m/>
    <e v="#DIV/0!"/>
    <e v="#VALUE!"/>
    <e v="#DIV/0!"/>
    <m/>
    <m/>
    <m/>
  </r>
  <r>
    <x v="16"/>
    <x v="5"/>
    <n v="500.02"/>
    <n v="24.63"/>
    <n v="0"/>
    <n v="554.17999999999995"/>
    <n v="54.16"/>
    <n v="0"/>
    <n v="554.17999999999995"/>
    <n v="88.09"/>
    <n v="642.27"/>
    <s v="DD"/>
    <e v="#DIV/0!"/>
    <m/>
    <e v="#DIV/0!"/>
    <e v="#VALUE!"/>
    <e v="#DIV/0!"/>
    <m/>
    <m/>
    <m/>
  </r>
  <r>
    <x v="16"/>
    <x v="5"/>
    <n v="700.39"/>
    <n v="34.5"/>
    <n v="0"/>
    <n v="776.25"/>
    <n v="75.86"/>
    <n v="0"/>
    <n v="776.25"/>
    <n v="123.39"/>
    <n v="899.64"/>
    <s v="DD"/>
    <e v="#DIV/0!"/>
    <m/>
    <e v="#DIV/0!"/>
    <e v="#VALUE!"/>
    <e v="#DIV/0!"/>
    <m/>
    <m/>
    <m/>
  </r>
  <r>
    <x v="16"/>
    <x v="6"/>
    <n v="1008.2"/>
    <n v="80"/>
    <m/>
    <m/>
    <n v="191.8"/>
    <n v="0"/>
    <n v="1200"/>
    <n v="281.26"/>
    <n v="1481.26"/>
    <m/>
    <e v="#DIV/0!"/>
    <m/>
    <e v="#DIV/0!"/>
    <e v="#VALUE!"/>
    <e v="#DIV/0!"/>
    <n v="409.55"/>
    <m/>
    <m/>
  </r>
  <r>
    <x v="16"/>
    <x v="6"/>
    <n v="1008.2"/>
    <n v="80"/>
    <m/>
    <m/>
    <n v="191.8"/>
    <n v="0"/>
    <n v="1200"/>
    <n v="281.26"/>
    <n v="1481.26"/>
    <m/>
    <e v="#DIV/0!"/>
    <m/>
    <e v="#DIV/0!"/>
    <e v="#VALUE!"/>
    <e v="#DIV/0!"/>
    <m/>
    <m/>
    <m/>
  </r>
  <r>
    <x v="16"/>
    <x v="6"/>
    <n v="1008.2"/>
    <n v="80"/>
    <m/>
    <m/>
    <n v="191.8"/>
    <n v="0"/>
    <n v="1200"/>
    <n v="281.26"/>
    <n v="1481.26"/>
    <m/>
    <e v="#DIV/0!"/>
    <m/>
    <e v="#DIV/0!"/>
    <e v="#VALUE!"/>
    <e v="#DIV/0!"/>
    <m/>
    <m/>
    <m/>
  </r>
  <r>
    <x v="16"/>
    <x v="6"/>
    <n v="1038.02"/>
    <n v="80"/>
    <m/>
    <m/>
    <n v="161.97999999999999"/>
    <n v="0"/>
    <n v="1200"/>
    <n v="281.26"/>
    <n v="1481.26"/>
    <s v="DD"/>
    <e v="#DIV/0!"/>
    <m/>
    <e v="#DIV/0!"/>
    <e v="#VALUE!"/>
    <e v="#DIV/0!"/>
    <m/>
    <m/>
    <m/>
  </r>
  <r>
    <x v="16"/>
    <x v="6"/>
    <n v="1038.02"/>
    <n v="80"/>
    <m/>
    <m/>
    <n v="161.97999999999999"/>
    <n v="0"/>
    <n v="1200"/>
    <n v="281.26"/>
    <n v="1481.26"/>
    <s v="DD"/>
    <e v="#DIV/0!"/>
    <m/>
    <e v="#DIV/0!"/>
    <e v="#VALUE!"/>
    <e v="#DIV/0!"/>
    <m/>
    <m/>
    <m/>
  </r>
  <r>
    <x v="16"/>
    <x v="6"/>
    <n v="1038.02"/>
    <n v="80"/>
    <m/>
    <m/>
    <n v="161.97999999999999"/>
    <n v="0"/>
    <n v="1200"/>
    <n v="280.06"/>
    <n v="1480.06"/>
    <s v="DD"/>
    <e v="#DIV/0!"/>
    <m/>
    <e v="#DIV/0!"/>
    <e v="#VALUE!"/>
    <e v="#DIV/0!"/>
    <m/>
    <m/>
    <m/>
  </r>
  <r>
    <x v="16"/>
    <x v="6"/>
    <n v="1038.02"/>
    <n v="80"/>
    <m/>
    <m/>
    <n v="161.97999999999999"/>
    <n v="0"/>
    <n v="1200"/>
    <n v="274.06"/>
    <n v="1474.06"/>
    <s v="DD"/>
    <e v="#DIV/0!"/>
    <m/>
    <e v="#DIV/0!"/>
    <e v="#VALUE!"/>
    <e v="#DIV/0!"/>
    <m/>
    <m/>
    <m/>
  </r>
  <r>
    <x v="16"/>
    <x v="6"/>
    <n v="1038.02"/>
    <n v="80"/>
    <m/>
    <m/>
    <n v="161.97999999999999"/>
    <n v="0"/>
    <n v="1200"/>
    <n v="274.06"/>
    <n v="1474.06"/>
    <s v="DD"/>
    <e v="#DIV/0!"/>
    <m/>
    <e v="#DIV/0!"/>
    <e v="#VALUE!"/>
    <e v="#DIV/0!"/>
    <m/>
    <m/>
    <m/>
  </r>
  <r>
    <x v="16"/>
    <x v="6"/>
    <n v="1038.02"/>
    <n v="80"/>
    <m/>
    <m/>
    <n v="161.97999999999999"/>
    <n v="0"/>
    <n v="1200"/>
    <n v="274.06"/>
    <n v="1474.06"/>
    <s v="DD"/>
    <e v="#DIV/0!"/>
    <m/>
    <e v="#DIV/0!"/>
    <e v="#VALUE!"/>
    <e v="#DIV/0!"/>
    <m/>
    <m/>
    <m/>
  </r>
  <r>
    <x v="16"/>
    <x v="6"/>
    <n v="1038.02"/>
    <n v="80"/>
    <m/>
    <m/>
    <n v="161.97999999999999"/>
    <n v="0"/>
    <n v="1200"/>
    <n v="274.06"/>
    <n v="1474.06"/>
    <s v="DD"/>
    <e v="#DIV/0!"/>
    <m/>
    <e v="#DIV/0!"/>
    <e v="#VALUE!"/>
    <e v="#DIV/0!"/>
    <m/>
    <m/>
    <m/>
  </r>
  <r>
    <x v="16"/>
    <x v="6"/>
    <n v="1038.02"/>
    <n v="80"/>
    <m/>
    <m/>
    <n v="161.97999999999999"/>
    <n v="0"/>
    <n v="1200"/>
    <n v="274.06"/>
    <n v="1474.06"/>
    <s v="DD"/>
    <e v="#DIV/0!"/>
    <m/>
    <e v="#DIV/0!"/>
    <e v="#VALUE!"/>
    <e v="#DIV/0!"/>
    <m/>
    <m/>
    <m/>
  </r>
  <r>
    <x v="16"/>
    <x v="6"/>
    <n v="1038.02"/>
    <n v="80"/>
    <m/>
    <m/>
    <n v="161.97999999999999"/>
    <n v="0"/>
    <n v="1200"/>
    <n v="274.06"/>
    <n v="1474.06"/>
    <s v="DD"/>
    <e v="#DIV/0!"/>
    <m/>
    <e v="#DIV/0!"/>
    <e v="#VALUE!"/>
    <e v="#DIV/0!"/>
    <m/>
    <m/>
    <m/>
  </r>
  <r>
    <x v="16"/>
    <x v="6"/>
    <n v="1038.02"/>
    <n v="80"/>
    <m/>
    <m/>
    <n v="161.97999999999999"/>
    <n v="0"/>
    <n v="1200"/>
    <n v="274.06"/>
    <n v="1474.06"/>
    <s v="DD"/>
    <e v="#DIV/0!"/>
    <m/>
    <e v="#DIV/0!"/>
    <e v="#VALUE!"/>
    <e v="#DIV/0!"/>
    <m/>
    <m/>
    <m/>
  </r>
  <r>
    <x v="16"/>
    <x v="6"/>
    <n v="812.6"/>
    <n v="61"/>
    <m/>
    <m/>
    <n v="102.4"/>
    <n v="0"/>
    <n v="915"/>
    <n v="208.97"/>
    <n v="1123.97"/>
    <s v="DD"/>
    <e v="#DIV/0!"/>
    <m/>
    <e v="#DIV/0!"/>
    <e v="#VALUE!"/>
    <e v="#DIV/0!"/>
    <m/>
    <m/>
    <m/>
  </r>
  <r>
    <x v="16"/>
    <x v="6"/>
    <n v="990.73"/>
    <n v="76"/>
    <m/>
    <m/>
    <n v="149.27000000000001"/>
    <n v="0"/>
    <n v="1140"/>
    <n v="260.35000000000002"/>
    <n v="1400.35"/>
    <s v="DD"/>
    <e v="#DIV/0!"/>
    <m/>
    <e v="#DIV/0!"/>
    <e v="#VALUE!"/>
    <e v="#DIV/0!"/>
    <m/>
    <m/>
    <m/>
  </r>
  <r>
    <x v="16"/>
    <x v="6"/>
    <n v="1038.02"/>
    <n v="80"/>
    <m/>
    <m/>
    <n v="161.97999999999999"/>
    <n v="0"/>
    <n v="1200"/>
    <n v="274.06"/>
    <n v="1474.06"/>
    <s v="DD"/>
    <e v="#DIV/0!"/>
    <m/>
    <e v="#DIV/0!"/>
    <e v="#VALUE!"/>
    <e v="#DIV/0!"/>
    <m/>
    <m/>
    <m/>
  </r>
  <r>
    <x v="10"/>
    <x v="7"/>
    <m/>
    <n v="30"/>
    <m/>
    <m/>
    <m/>
    <m/>
    <m/>
    <m/>
    <m/>
    <m/>
    <m/>
    <m/>
    <m/>
    <n v="0"/>
    <m/>
    <m/>
    <m/>
    <m/>
  </r>
  <r>
    <x v="11"/>
    <x v="7"/>
    <m/>
    <n v="109"/>
    <m/>
    <m/>
    <m/>
    <m/>
    <m/>
    <m/>
    <m/>
    <m/>
    <m/>
    <m/>
    <m/>
    <n v="0"/>
    <m/>
    <m/>
    <m/>
    <m/>
  </r>
  <r>
    <x v="36"/>
    <x v="7"/>
    <m/>
    <n v="133"/>
    <m/>
    <m/>
    <m/>
    <m/>
    <m/>
    <m/>
    <m/>
    <m/>
    <m/>
    <m/>
    <m/>
    <n v="0"/>
    <m/>
    <m/>
    <m/>
    <m/>
  </r>
  <r>
    <x v="13"/>
    <x v="7"/>
    <n v="1126"/>
    <n v="58"/>
    <n v="244.13"/>
    <n v="1520"/>
    <n v="288.13"/>
    <n v="350"/>
    <n v="1764.13"/>
    <n v="338.01"/>
    <n v="2102.14"/>
    <s v="DD"/>
    <n v="21.51378048780488"/>
    <n v="82"/>
    <n v="193.6240243902439"/>
    <n v="40.659999999999997"/>
    <n v="290.43603658536585"/>
    <n v="409.55"/>
    <m/>
    <m/>
  </r>
  <r>
    <x v="14"/>
    <x v="7"/>
    <n v="2079"/>
    <n v="80"/>
    <n v="469.46"/>
    <n v="2080"/>
    <n v="470.46"/>
    <n v="0"/>
    <n v="2549.46"/>
    <n v="417.01"/>
    <n v="2966.47"/>
    <s v="DD"/>
    <n v="22.073246753246753"/>
    <n v="115.5"/>
    <n v="391.80012987012987"/>
    <n v="78.36"/>
    <n v="587.70019480519477"/>
    <m/>
    <m/>
    <m/>
  </r>
  <r>
    <x v="15"/>
    <x v="7"/>
    <n v="895.48"/>
    <n v="80"/>
    <n v="465.3"/>
    <n v="1480"/>
    <n v="234.52"/>
    <n v="350"/>
    <n v="1480"/>
    <n v="309.43"/>
    <n v="1789.43"/>
    <s v="DD"/>
    <n v="20.91720430107527"/>
    <n v="93"/>
    <n v="135.96182795698925"/>
    <n v="27.19"/>
    <n v="203.94274193548387"/>
    <m/>
    <m/>
    <m/>
  </r>
  <r>
    <x v="16"/>
    <x v="7"/>
    <n v="1979.96"/>
    <n v="80"/>
    <n v="932.04"/>
    <n v="1480"/>
    <n v="216.04"/>
    <n v="0"/>
    <n v="2196"/>
    <n v="381.46"/>
    <n v="2577.46"/>
    <s v="DD"/>
    <e v="#DIV/0!"/>
    <m/>
    <e v="#DIV/0!"/>
    <e v="#VALUE!"/>
    <e v="#DIV/0!"/>
    <m/>
    <m/>
    <m/>
  </r>
  <r>
    <x v="16"/>
    <x v="7"/>
    <n v="2181"/>
    <n v="80"/>
    <n v="1715.43"/>
    <n v="1480"/>
    <n v="664.43"/>
    <n v="350"/>
    <n v="3195.43"/>
    <n v="478.57"/>
    <n v="3674"/>
    <s v="DD"/>
    <e v="#DIV/0!"/>
    <m/>
    <e v="#DIV/0!"/>
    <e v="#VALUE!"/>
    <e v="#DIV/0!"/>
    <m/>
    <m/>
    <m/>
  </r>
  <r>
    <x v="16"/>
    <x v="7"/>
    <n v="1984"/>
    <n v="80"/>
    <n v="216.39"/>
    <n v="1984"/>
    <n v="216.39"/>
    <n v="0"/>
    <n v="2200.39"/>
    <n v="368.69"/>
    <n v="2569.08"/>
    <s v="DD"/>
    <e v="#DIV/0!"/>
    <m/>
    <e v="#DIV/0!"/>
    <e v="#VALUE!"/>
    <e v="#DIV/0!"/>
    <m/>
    <m/>
    <m/>
  </r>
  <r>
    <x v="16"/>
    <x v="7"/>
    <n v="1802"/>
    <n v="0"/>
    <n v="1802"/>
    <n v="0"/>
    <n v="319.75"/>
    <n v="0"/>
    <n v="2121.75"/>
    <n v="200.71"/>
    <n v="2322.46"/>
    <s v="DD"/>
    <e v="#DIV/0!"/>
    <m/>
    <e v="#DIV/0!"/>
    <e v="#VALUE!"/>
    <e v="#DIV/0!"/>
    <m/>
    <m/>
    <m/>
  </r>
  <r>
    <x v="16"/>
    <x v="7"/>
    <n v="2299"/>
    <n v="80"/>
    <n v="1384.47"/>
    <n v="1480"/>
    <n v="565.47"/>
    <n v="0"/>
    <n v="2864.47"/>
    <n v="431.53"/>
    <n v="3296"/>
    <s v="DD"/>
    <e v="#DIV/0!"/>
    <m/>
    <e v="#DIV/0!"/>
    <e v="#VALUE!"/>
    <e v="#DIV/0!"/>
    <m/>
    <m/>
    <m/>
  </r>
  <r>
    <x v="16"/>
    <x v="7"/>
    <n v="1897"/>
    <n v="80"/>
    <n v="1310.29"/>
    <n v="1480"/>
    <n v="543.29"/>
    <n v="350"/>
    <n v="2790.29"/>
    <n v="424.5"/>
    <n v="3214.79"/>
    <s v="DD"/>
    <e v="#DIV/0!"/>
    <m/>
    <e v="#DIV/0!"/>
    <e v="#VALUE!"/>
    <e v="#DIV/0!"/>
    <m/>
    <m/>
    <m/>
  </r>
  <r>
    <x v="16"/>
    <x v="7"/>
    <n v="1897"/>
    <n v="80"/>
    <n v="823.04"/>
    <n v="1850"/>
    <n v="396.41"/>
    <n v="0"/>
    <n v="2293.41"/>
    <n v="377.49"/>
    <n v="2670.9"/>
    <s v="DD"/>
    <e v="#DIV/0!"/>
    <m/>
    <e v="#DIV/0!"/>
    <e v="#VALUE!"/>
    <e v="#DIV/0!"/>
    <m/>
    <m/>
    <m/>
  </r>
  <r>
    <x v="23"/>
    <x v="7"/>
    <n v="1907"/>
    <n v="59"/>
    <n v="1324.53"/>
    <n v="1480"/>
    <n v="547.53"/>
    <n v="350"/>
    <n v="2804.53"/>
    <n v="421.08"/>
    <n v="3225.61"/>
    <s v="DD"/>
    <n v="47.534406779661012"/>
    <n v="59"/>
    <n v="451.57686440677963"/>
    <n v="72.25"/>
    <n v="677.36529661016948"/>
    <m/>
    <m/>
    <m/>
  </r>
  <r>
    <x v="24"/>
    <x v="7"/>
    <n v="2698"/>
    <n v="80"/>
    <n v="1953.67"/>
    <n v="1480"/>
    <n v="735.67"/>
    <n v="0"/>
    <n v="3433.67"/>
    <n v="479.53"/>
    <n v="3913.2"/>
    <s v="DD"/>
    <n v="35.582072538860103"/>
    <n v="96.5"/>
    <n v="293.55209844559585"/>
    <n v="46.97"/>
    <n v="440.32814766839374"/>
    <m/>
    <m/>
    <m/>
  </r>
  <r>
    <x v="27"/>
    <x v="7"/>
    <n v="2348"/>
    <n v="80"/>
    <n v="1953.66"/>
    <n v="1480"/>
    <n v="735.66"/>
    <n v="350"/>
    <n v="3433.66"/>
    <n v="479.53"/>
    <n v="3913.19"/>
    <s v="DD"/>
    <n v="39.926279069767439"/>
    <n v="86"/>
    <n v="119.77883720930231"/>
    <n v="17.97"/>
    <n v="179.66825581395346"/>
    <m/>
    <m/>
    <m/>
  </r>
  <r>
    <x v="28"/>
    <x v="7"/>
    <n v="2163"/>
    <n v="56"/>
    <n v="1190.44"/>
    <n v="1480"/>
    <n v="507.44"/>
    <n v="0"/>
    <n v="2670.44"/>
    <n v="408.62"/>
    <n v="3079.06"/>
    <s v="DD"/>
    <n v="39.271176470588237"/>
    <n v="68"/>
    <n v="314.1694117647059"/>
    <n v="47.13"/>
    <n v="471.25411764705882"/>
    <m/>
    <m/>
    <m/>
  </r>
  <r>
    <x v="29"/>
    <x v="7"/>
    <n v="2821"/>
    <n v="80"/>
    <n v="2009.25"/>
    <n v="1480"/>
    <n v="318.25"/>
    <n v="350"/>
    <n v="3489.25"/>
    <n v="484.69"/>
    <n v="3973.94"/>
    <s v="DD"/>
    <n v="23.107615894039736"/>
    <n v="151"/>
    <n v="820.32036423841066"/>
    <n v="114.84"/>
    <n v="1230.480546357616"/>
    <m/>
    <m/>
    <m/>
  </r>
  <r>
    <x v="30"/>
    <x v="7"/>
    <n v="2038"/>
    <n v="80"/>
    <n v="747.64"/>
    <n v="2000"/>
    <n v="259.64"/>
    <n v="450"/>
    <n v="2747.64"/>
    <n v="415.8"/>
    <n v="3163.44"/>
    <s v="DD"/>
    <n v="23.186835443037975"/>
    <n v="118.5"/>
    <n v="446.34658227848104"/>
    <n v="62.49"/>
    <n v="669.51987341772156"/>
    <m/>
    <m/>
    <m/>
  </r>
  <r>
    <x v="31"/>
    <x v="7"/>
    <n v="1341"/>
    <n v="80"/>
    <n v="0"/>
    <n v="2294.69"/>
    <n v="278.69"/>
    <n v="675"/>
    <n v="2294.69"/>
    <n v="373.72"/>
    <n v="2668.41"/>
    <s v="DD"/>
    <n v="23.903020833333333"/>
    <n v="96"/>
    <n v="191.22416666666666"/>
    <n v="24.86"/>
    <n v="286.83625000000001"/>
    <m/>
    <m/>
    <m/>
  </r>
  <r>
    <x v="32"/>
    <x v="7"/>
    <n v="2285"/>
    <n v="80"/>
    <n v="427.52"/>
    <n v="2635"/>
    <n v="427.56"/>
    <n v="349.96"/>
    <n v="3062.52"/>
    <n v="445.04"/>
    <n v="3507.56"/>
    <s v="DD"/>
    <n v="24.697741935483872"/>
    <n v="124"/>
    <n v="543.35032258064518"/>
    <n v="70.64"/>
    <n v="815.02548387096772"/>
    <m/>
    <m/>
    <m/>
  </r>
  <r>
    <x v="33"/>
    <x v="7"/>
    <n v="1626"/>
    <n v="80"/>
    <n v="325.94"/>
    <n v="2226"/>
    <n v="325.94"/>
    <n v="600"/>
    <n v="2551.94"/>
    <n v="397.61"/>
    <n v="2949.55"/>
    <s v="DD"/>
    <n v="22.385438596491227"/>
    <n v="114"/>
    <n v="380.55245614035084"/>
    <n v="45.67"/>
    <n v="570.82868421052626"/>
    <m/>
    <m/>
    <m/>
  </r>
  <r>
    <x v="34"/>
    <x v="7"/>
    <n v="1876"/>
    <n v="80"/>
    <n v="325.94"/>
    <n v="2226"/>
    <n v="325.94"/>
    <n v="350"/>
    <n v="2551.94"/>
    <n v="397.61"/>
    <n v="2949.55"/>
    <s v="DD"/>
    <n v="22.990450450450449"/>
    <n v="111"/>
    <n v="356.35198198198196"/>
    <n v="42.76"/>
    <n v="534.52797297297298"/>
    <m/>
    <m/>
    <m/>
  </r>
  <r>
    <x v="35"/>
    <x v="7"/>
    <n v="1921"/>
    <n v="80"/>
    <n v="257.98"/>
    <n v="1921"/>
    <n v="257.98"/>
    <n v="0"/>
    <n v="2178.98"/>
    <n v="336.06"/>
    <n v="2515.04"/>
    <s v="DD"/>
    <n v="20.269581395348837"/>
    <n v="107.5"/>
    <n v="278.70674418604654"/>
    <n v="30.66"/>
    <n v="418.0601162790698"/>
    <m/>
    <m/>
    <m/>
  </r>
  <r>
    <x v="37"/>
    <x v="7"/>
    <n v="2254"/>
    <n v="80"/>
    <n v="419.86"/>
    <n v="2604"/>
    <n v="419.86"/>
    <n v="350"/>
    <n v="3023.86"/>
    <n v="391.86"/>
    <n v="3415.72"/>
    <s v="DD"/>
    <n v="24.385967741935485"/>
    <n v="124"/>
    <n v="536.49129032258065"/>
    <n v="59.01"/>
    <n v="804.73693548387098"/>
    <m/>
    <m/>
    <m/>
  </r>
  <r>
    <x v="38"/>
    <x v="7"/>
    <n v="2730"/>
    <n v="80"/>
    <n v="451.18"/>
    <n v="2730"/>
    <n v="451.18"/>
    <n v="0"/>
    <n v="3181.18"/>
    <n v="403.9"/>
    <n v="3585.08"/>
    <s v="DD"/>
    <n v="25.247460317460316"/>
    <n v="126"/>
    <n v="580.69158730158722"/>
    <n v="58.07"/>
    <n v="871.03738095238077"/>
    <m/>
    <m/>
    <m/>
  </r>
  <r>
    <x v="39"/>
    <x v="7"/>
    <n v="1603"/>
    <n v="80"/>
    <n v="264.95999999999998"/>
    <n v="1953"/>
    <n v="264.95999999999998"/>
    <n v="350"/>
    <n v="2217.96"/>
    <n v="330.22"/>
    <n v="2548.1799999999998"/>
    <s v="DD"/>
    <n v="23.849032258064515"/>
    <n v="93"/>
    <n v="155.01870967741934"/>
    <n v="15.5"/>
    <n v="232.52806451612901"/>
    <m/>
    <m/>
    <m/>
  </r>
  <r>
    <x v="40"/>
    <x v="7"/>
    <n v="2425"/>
    <n v="80"/>
    <n v="375.38"/>
    <n v="2425"/>
    <n v="375.38"/>
    <n v="0"/>
    <n v="2800.38"/>
    <n v="374.77"/>
    <n v="3175.15"/>
    <s v="DD"/>
    <n v="25.115515695067266"/>
    <n v="111.5"/>
    <n v="395.56937219730946"/>
    <n v="35.6"/>
    <n v="593.35405829596425"/>
    <m/>
    <m/>
    <m/>
  </r>
  <r>
    <x v="41"/>
    <x v="7"/>
    <n v="1680"/>
    <n v="41"/>
    <n v="205.42"/>
    <n v="1680"/>
    <n v="205.42"/>
    <n v="0"/>
    <n v="1885.42"/>
    <n v="304.77"/>
    <n v="2190.19"/>
    <s v="DD"/>
    <n v="23.56775"/>
    <n v="80"/>
    <n v="11.783875"/>
    <n v="1.06"/>
    <n v="17.675812499999999"/>
    <m/>
    <m/>
    <m/>
  </r>
  <r>
    <x v="42"/>
    <x v="7"/>
    <n v="977"/>
    <n v="47.5"/>
    <n v="129.97999999999999"/>
    <n v="977"/>
    <n v="129.97999999999999"/>
    <n v="0"/>
    <n v="1106.98"/>
    <n v="245.23"/>
    <n v="1352.21"/>
    <s v="DD"/>
    <n v="23.304842105263159"/>
    <n v="47.5"/>
    <n v="87.393157894736845"/>
    <n v="7.87"/>
    <n v="131.08973684210525"/>
    <m/>
    <m/>
    <m/>
  </r>
  <r>
    <x v="43"/>
    <x v="7"/>
    <n v="2226"/>
    <n v="80"/>
    <n v="325.94"/>
    <n v="2226"/>
    <n v="325.94"/>
    <n v="0"/>
    <n v="2551.94"/>
    <n v="355.76"/>
    <n v="2907.7"/>
    <s v="DD"/>
    <n v="24.074905660377357"/>
    <n v="106"/>
    <n v="312.97377358490564"/>
    <n v="25.04"/>
    <n v="469.46066037735847"/>
    <m/>
    <m/>
    <m/>
  </r>
  <r>
    <x v="44"/>
    <x v="7"/>
    <n v="1892"/>
    <n v="55"/>
    <n v="247.44"/>
    <n v="1892"/>
    <n v="247.44"/>
    <n v="0"/>
    <n v="2139.44"/>
    <n v="372.14"/>
    <n v="2511.58"/>
    <s v="DD"/>
    <n v="24.877209302325582"/>
    <n v="86"/>
    <n v="186.57906976744187"/>
    <n v="14.93"/>
    <n v="279.8686046511628"/>
    <m/>
    <m/>
    <m/>
  </r>
  <r>
    <x v="45"/>
    <x v="7"/>
    <n v="2310"/>
    <n v="80"/>
    <n v="0"/>
    <n v="2310"/>
    <n v="277.97000000000003"/>
    <n v="0"/>
    <n v="2587.9699999999998"/>
    <n v="389"/>
    <n v="2976.97"/>
    <s v="DD"/>
    <n v="21.095890410958905"/>
    <n v="109.5"/>
    <n v="311.16438356164383"/>
    <n v="21.78"/>
    <n v="466.74657534246575"/>
    <m/>
    <m/>
    <m/>
  </r>
  <r>
    <x v="46"/>
    <x v="7"/>
    <n v="2205"/>
    <n v="80"/>
    <n v="0"/>
    <n v="2205"/>
    <n v="259.17"/>
    <n v="0"/>
    <n v="2464.17"/>
    <n v="378.61"/>
    <n v="2842.78"/>
    <s v="DD"/>
    <n v="21"/>
    <n v="105"/>
    <n v="262.5"/>
    <n v="18.38"/>
    <n v="393.75"/>
    <m/>
    <m/>
    <m/>
  </r>
  <r>
    <x v="47"/>
    <x v="7"/>
    <n v="2226"/>
    <n v="80"/>
    <n v="0"/>
    <n v="2226"/>
    <n v="254.11"/>
    <n v="0"/>
    <n v="2480.11"/>
    <n v="321.29000000000002"/>
    <n v="2801.4"/>
    <s v="DD"/>
    <n v="21"/>
    <n v="106"/>
    <n v="273"/>
    <n v="16.38"/>
    <n v="409.5"/>
    <m/>
    <m/>
    <m/>
  </r>
  <r>
    <x v="48"/>
    <x v="7"/>
    <n v="2310"/>
    <n v="80"/>
    <n v="0"/>
    <n v="2310"/>
    <n v="269.14"/>
    <n v="0"/>
    <n v="2579.14"/>
    <n v="327.02"/>
    <n v="2906.16"/>
    <s v="DD"/>
    <n v="21"/>
    <n v="110"/>
    <n v="315"/>
    <n v="18.899999999999999"/>
    <n v="472.5"/>
    <m/>
    <m/>
    <m/>
  </r>
  <r>
    <x v="49"/>
    <x v="7"/>
    <n v="2215"/>
    <n v="80"/>
    <n v="0"/>
    <n v="2215"/>
    <n v="252.14"/>
    <n v="0"/>
    <n v="2467.14"/>
    <n v="318.19"/>
    <n v="2785.33"/>
    <s v="DD"/>
    <n v="20.995260663507111"/>
    <n v="105.5"/>
    <n v="267.68957345971569"/>
    <n v="13.38"/>
    <n v="401.53436018957353"/>
    <m/>
    <m/>
    <m/>
  </r>
  <r>
    <x v="50"/>
    <x v="7"/>
    <n v="1050"/>
    <n v="50"/>
    <n v="0"/>
    <n v="1050"/>
    <n v="104.03"/>
    <n v="0"/>
    <n v="1154.03"/>
    <n v="167.8"/>
    <n v="1321.83"/>
    <s v="DD"/>
    <n v="21"/>
    <n v="50"/>
    <n v="0"/>
    <n v="0"/>
    <n v="0"/>
    <m/>
    <m/>
    <m/>
  </r>
  <r>
    <x v="16"/>
    <x v="8"/>
    <n v="2929"/>
    <n v="80"/>
    <n v="257.64"/>
    <n v="2960"/>
    <n v="288.64"/>
    <n v="0"/>
    <n v="3217.64"/>
    <n v="484.24"/>
    <n v="3701.88"/>
    <s v="DD"/>
    <e v="#DIV/0!"/>
    <m/>
    <e v="#DIV/0!"/>
    <e v="#VALUE!"/>
    <e v="#DIV/0!"/>
    <n v="409.55"/>
    <m/>
    <m/>
  </r>
  <r>
    <x v="16"/>
    <x v="8"/>
    <n v="1703"/>
    <n v="70.5"/>
    <n v="185.87"/>
    <n v="2256"/>
    <n v="538.87"/>
    <n v="200"/>
    <n v="2441.87"/>
    <n v="387.12"/>
    <n v="2828.99"/>
    <s v="DD"/>
    <e v="#DIV/0!"/>
    <m/>
    <e v="#DIV/0!"/>
    <e v="#VALUE!"/>
    <e v="#DIV/0!"/>
    <m/>
    <m/>
    <m/>
  </r>
  <r>
    <x v="16"/>
    <x v="8"/>
    <n v="3064"/>
    <n v="102"/>
    <n v="1074.73"/>
    <n v="3060"/>
    <n v="1070.73"/>
    <n v="0"/>
    <n v="4134.7299999999996"/>
    <n v="603.87"/>
    <n v="4738.6000000000004"/>
    <n v="100112"/>
    <e v="#DIV/0!"/>
    <m/>
    <e v="#DIV/0!"/>
    <e v="#VALUE!"/>
    <e v="#DIV/0!"/>
    <m/>
    <m/>
    <m/>
  </r>
  <r>
    <x v="16"/>
    <x v="8"/>
    <n v="2687"/>
    <n v="80"/>
    <n v="296.02999999999997"/>
    <n v="2912"/>
    <n v="296.02999999999997"/>
    <n v="225"/>
    <n v="3208.03"/>
    <n v="483.27"/>
    <n v="3691.3"/>
    <s v="DD"/>
    <e v="#DIV/0!"/>
    <m/>
    <e v="#DIV/0!"/>
    <e v="#VALUE!"/>
    <e v="#DIV/0!"/>
    <m/>
    <m/>
    <m/>
  </r>
  <r>
    <x v="16"/>
    <x v="8"/>
    <n v="2996"/>
    <n v="0"/>
    <n v="2996"/>
    <n v="0"/>
    <n v="966.14"/>
    <n v="0"/>
    <n v="3962.14"/>
    <n v="397.57"/>
    <n v="4359.71"/>
    <s v="DD"/>
    <e v="#DIV/0!"/>
    <m/>
    <e v="#DIV/0!"/>
    <e v="#VALUE!"/>
    <e v="#DIV/0!"/>
    <m/>
    <m/>
    <m/>
  </r>
  <r>
    <x v="16"/>
    <x v="8"/>
    <n v="3122"/>
    <n v="80"/>
    <n v="1809.59"/>
    <n v="2400"/>
    <n v="1087.5899999999999"/>
    <n v="0"/>
    <n v="4209.59"/>
    <n v="558.77"/>
    <n v="4768.3599999999997"/>
    <s v="DD"/>
    <e v="#DIV/0!"/>
    <m/>
    <e v="#DIV/0!"/>
    <e v="#VALUE!"/>
    <e v="#DIV/0!"/>
    <m/>
    <m/>
    <m/>
  </r>
  <r>
    <x v="16"/>
    <x v="8"/>
    <n v="3080"/>
    <n v="80"/>
    <n v="1747.88"/>
    <n v="2400"/>
    <n v="1067.8800000000001"/>
    <n v="0"/>
    <n v="4147.88"/>
    <n v="552.91"/>
    <n v="4700.79"/>
    <s v="DD"/>
    <e v="#DIV/0!"/>
    <m/>
    <e v="#DIV/0!"/>
    <e v="#VALUE!"/>
    <e v="#DIV/0!"/>
    <m/>
    <m/>
    <m/>
  </r>
  <r>
    <x v="16"/>
    <x v="8"/>
    <n v="3080"/>
    <n v="80"/>
    <n v="1747.93"/>
    <n v="2400"/>
    <n v="1067.93"/>
    <n v="0"/>
    <n v="4147.93"/>
    <n v="552.95000000000005"/>
    <n v="4700.88"/>
    <s v="DD"/>
    <e v="#DIV/0!"/>
    <m/>
    <e v="#DIV/0!"/>
    <e v="#VALUE!"/>
    <e v="#DIV/0!"/>
    <m/>
    <m/>
    <m/>
  </r>
  <r>
    <x v="28"/>
    <x v="8"/>
    <n v="1039"/>
    <n v="40"/>
    <n v="294.92"/>
    <n v="1530"/>
    <n v="345.92"/>
    <n v="440"/>
    <n v="1824.92"/>
    <n v="271.86"/>
    <n v="2096.7800000000002"/>
    <s v="DD"/>
    <n v="45.623000000000005"/>
    <n v="40"/>
    <n v="0"/>
    <n v="0"/>
    <n v="0"/>
    <m/>
    <m/>
    <m/>
  </r>
  <r>
    <x v="29"/>
    <x v="8"/>
    <n v="2760"/>
    <n v="80"/>
    <n v="1392.93"/>
    <n v="2400"/>
    <n v="572.92999999999995"/>
    <n v="460"/>
    <n v="3792.93"/>
    <n v="512.9"/>
    <n v="4305.83"/>
    <s v="DD"/>
    <n v="32.981999999999999"/>
    <n v="115"/>
    <n v="577.18499999999995"/>
    <n v="80.81"/>
    <n v="865.77749999999992"/>
    <m/>
    <m/>
    <m/>
  </r>
  <r>
    <x v="30"/>
    <x v="8"/>
    <n v="508"/>
    <n v="70.5"/>
    <n v="25.47"/>
    <n v="780"/>
    <n v="77.47"/>
    <n v="220"/>
    <n v="805.47"/>
    <n v="127"/>
    <n v="932.47"/>
    <s v="DD"/>
    <n v="16"/>
    <n v="70.5"/>
    <n v="0"/>
    <n v="0"/>
    <n v="0"/>
    <m/>
    <m/>
    <m/>
  </r>
  <r>
    <x v="51"/>
    <x v="9"/>
    <m/>
    <n v="68.5"/>
    <m/>
    <m/>
    <m/>
    <m/>
    <m/>
    <m/>
    <m/>
    <m/>
    <m/>
    <m/>
    <m/>
    <n v="0"/>
    <m/>
    <m/>
    <m/>
    <m/>
  </r>
  <r>
    <x v="32"/>
    <x v="8"/>
    <n v="2310"/>
    <n v="80"/>
    <n v="431.05"/>
    <n v="2800"/>
    <n v="461.1"/>
    <n v="459.95"/>
    <n v="3231.05"/>
    <n v="460.71"/>
    <n v="3691.76"/>
    <s v="DD"/>
    <n v="30.196728971962617"/>
    <n v="107"/>
    <n v="407.65584112149531"/>
    <n v="53"/>
    <n v="611.48376168224297"/>
    <m/>
    <m/>
    <m/>
  </r>
  <r>
    <x v="33"/>
    <x v="8"/>
    <n v="2450"/>
    <n v="80"/>
    <n v="416.4"/>
    <n v="2590"/>
    <n v="416.4"/>
    <n v="140"/>
    <n v="3006.4"/>
    <n v="439.84"/>
    <n v="3446.24"/>
    <s v="DD"/>
    <n v="30.36767676767677"/>
    <n v="99"/>
    <n v="288.49292929292932"/>
    <n v="34.619999999999997"/>
    <n v="432.73939393939395"/>
    <m/>
    <m/>
    <m/>
  </r>
  <r>
    <x v="52"/>
    <x v="8"/>
    <m/>
    <n v="134"/>
    <m/>
    <m/>
    <m/>
    <m/>
    <m/>
    <m/>
    <m/>
    <m/>
    <m/>
    <m/>
    <m/>
    <n v="0"/>
    <m/>
    <m/>
    <m/>
    <m/>
  </r>
  <r>
    <x v="25"/>
    <x v="8"/>
    <m/>
    <n v="93.5"/>
    <m/>
    <m/>
    <m/>
    <m/>
    <m/>
    <m/>
    <m/>
    <m/>
    <m/>
    <m/>
    <m/>
    <n v="0"/>
    <m/>
    <m/>
    <m/>
    <m/>
  </r>
  <r>
    <x v="53"/>
    <x v="8"/>
    <m/>
    <n v="99.5"/>
    <m/>
    <m/>
    <m/>
    <m/>
    <m/>
    <m/>
    <m/>
    <m/>
    <m/>
    <m/>
    <m/>
    <n v="0"/>
    <m/>
    <m/>
    <m/>
    <m/>
  </r>
  <r>
    <x v="54"/>
    <x v="10"/>
    <m/>
    <n v="36"/>
    <m/>
    <m/>
    <m/>
    <m/>
    <m/>
    <m/>
    <m/>
    <m/>
    <m/>
    <n v="36"/>
    <m/>
    <m/>
    <m/>
    <m/>
    <m/>
    <m/>
  </r>
  <r>
    <x v="55"/>
    <x v="10"/>
    <m/>
    <n v="53"/>
    <m/>
    <m/>
    <m/>
    <m/>
    <m/>
    <m/>
    <m/>
    <m/>
    <m/>
    <n v="53"/>
    <m/>
    <m/>
    <m/>
    <m/>
    <m/>
    <m/>
  </r>
  <r>
    <x v="56"/>
    <x v="10"/>
    <m/>
    <n v="106"/>
    <m/>
    <m/>
    <m/>
    <m/>
    <m/>
    <m/>
    <m/>
    <m/>
    <m/>
    <n v="106"/>
    <m/>
    <m/>
    <m/>
    <m/>
    <m/>
    <m/>
  </r>
  <r>
    <x v="57"/>
    <x v="10"/>
    <m/>
    <n v="106"/>
    <m/>
    <m/>
    <m/>
    <m/>
    <m/>
    <m/>
    <m/>
    <m/>
    <m/>
    <n v="106"/>
    <m/>
    <m/>
    <m/>
    <m/>
    <m/>
    <m/>
  </r>
  <r>
    <x v="58"/>
    <x v="10"/>
    <m/>
    <n v="106"/>
    <m/>
    <m/>
    <m/>
    <m/>
    <m/>
    <m/>
    <m/>
    <m/>
    <m/>
    <n v="106"/>
    <m/>
    <m/>
    <m/>
    <m/>
    <m/>
    <m/>
  </r>
  <r>
    <x v="59"/>
    <x v="10"/>
    <m/>
    <n v="103"/>
    <m/>
    <m/>
    <m/>
    <m/>
    <m/>
    <m/>
    <m/>
    <m/>
    <m/>
    <n v="103"/>
    <m/>
    <m/>
    <m/>
    <m/>
    <m/>
    <m/>
  </r>
  <r>
    <x v="0"/>
    <x v="10"/>
    <m/>
    <n v="92"/>
    <m/>
    <m/>
    <m/>
    <m/>
    <m/>
    <m/>
    <m/>
    <m/>
    <m/>
    <n v="92"/>
    <m/>
    <m/>
    <m/>
    <m/>
    <m/>
    <m/>
  </r>
  <r>
    <x v="1"/>
    <x v="10"/>
    <m/>
    <n v="106"/>
    <m/>
    <m/>
    <m/>
    <m/>
    <m/>
    <m/>
    <m/>
    <m/>
    <m/>
    <n v="106"/>
    <m/>
    <m/>
    <m/>
    <m/>
    <m/>
    <m/>
  </r>
  <r>
    <x v="2"/>
    <x v="10"/>
    <m/>
    <n v="103"/>
    <m/>
    <m/>
    <m/>
    <m/>
    <m/>
    <m/>
    <m/>
    <m/>
    <m/>
    <n v="103"/>
    <m/>
    <m/>
    <m/>
    <m/>
    <m/>
    <m/>
  </r>
  <r>
    <x v="3"/>
    <x v="10"/>
    <m/>
    <n v="72"/>
    <m/>
    <m/>
    <m/>
    <m/>
    <m/>
    <m/>
    <m/>
    <m/>
    <m/>
    <n v="72"/>
    <m/>
    <m/>
    <m/>
    <m/>
    <m/>
    <m/>
  </r>
  <r>
    <x v="4"/>
    <x v="10"/>
    <m/>
    <n v="87"/>
    <m/>
    <m/>
    <m/>
    <m/>
    <m/>
    <m/>
    <m/>
    <m/>
    <m/>
    <n v="87"/>
    <m/>
    <m/>
    <m/>
    <m/>
    <m/>
    <m/>
  </r>
  <r>
    <x v="5"/>
    <x v="10"/>
    <m/>
    <n v="89"/>
    <m/>
    <m/>
    <m/>
    <m/>
    <m/>
    <m/>
    <m/>
    <m/>
    <m/>
    <n v="89"/>
    <m/>
    <m/>
    <m/>
    <m/>
    <m/>
    <m/>
  </r>
  <r>
    <x v="6"/>
    <x v="10"/>
    <m/>
    <n v="45"/>
    <m/>
    <m/>
    <m/>
    <m/>
    <m/>
    <m/>
    <m/>
    <m/>
    <m/>
    <n v="45"/>
    <m/>
    <m/>
    <m/>
    <m/>
    <m/>
    <m/>
  </r>
  <r>
    <x v="7"/>
    <x v="10"/>
    <m/>
    <n v="83"/>
    <m/>
    <m/>
    <m/>
    <m/>
    <m/>
    <m/>
    <m/>
    <m/>
    <m/>
    <n v="83"/>
    <m/>
    <m/>
    <m/>
    <m/>
    <m/>
    <m/>
  </r>
  <r>
    <x v="8"/>
    <x v="10"/>
    <m/>
    <n v="112"/>
    <m/>
    <m/>
    <m/>
    <m/>
    <m/>
    <m/>
    <m/>
    <m/>
    <m/>
    <n v="112"/>
    <m/>
    <m/>
    <m/>
    <m/>
    <m/>
    <m/>
  </r>
  <r>
    <x v="9"/>
    <x v="10"/>
    <m/>
    <n v="99.75"/>
    <m/>
    <m/>
    <m/>
    <m/>
    <m/>
    <m/>
    <m/>
    <m/>
    <m/>
    <n v="99.75"/>
    <m/>
    <m/>
    <m/>
    <m/>
    <m/>
    <m/>
  </r>
  <r>
    <x v="10"/>
    <x v="10"/>
    <m/>
    <n v="117"/>
    <m/>
    <m/>
    <m/>
    <m/>
    <m/>
    <m/>
    <m/>
    <m/>
    <m/>
    <n v="117"/>
    <m/>
    <m/>
    <m/>
    <m/>
    <m/>
    <m/>
  </r>
  <r>
    <x v="60"/>
    <x v="10"/>
    <m/>
    <n v="102"/>
    <m/>
    <m/>
    <m/>
    <m/>
    <m/>
    <m/>
    <m/>
    <m/>
    <m/>
    <n v="102"/>
    <m/>
    <m/>
    <m/>
    <m/>
    <m/>
    <m/>
  </r>
  <r>
    <x v="12"/>
    <x v="10"/>
    <n v="2112"/>
    <n v="80"/>
    <n v="172.96"/>
    <n v="2160"/>
    <n v="220.96"/>
    <n v="0"/>
    <n v="2332.96"/>
    <n v="395.24"/>
    <n v="2728.2"/>
    <s v="DD"/>
    <n v="24.301666666666666"/>
    <n v="96"/>
    <n v="194.41333333333333"/>
    <n v="40.83"/>
    <n v="291.62"/>
    <n v="409.55"/>
    <m/>
    <m/>
  </r>
  <r>
    <x v="13"/>
    <x v="10"/>
    <n v="1233"/>
    <n v="45"/>
    <n v="31.39"/>
    <n v="1725"/>
    <n v="238.39"/>
    <n v="285"/>
    <n v="1756.39"/>
    <n v="315.16000000000003"/>
    <n v="2071.5500000000002"/>
    <s v="DD"/>
    <n v="25.454927536231885"/>
    <n v="69"/>
    <n v="63.637318840579709"/>
    <n v="13.36"/>
    <n v="95.455978260869557"/>
    <m/>
    <m/>
    <m/>
  </r>
  <r>
    <x v="61"/>
    <x v="10"/>
    <n v="2112"/>
    <n v="96"/>
    <n v="400.01"/>
    <n v="2112"/>
    <n v="400.01"/>
    <n v="0"/>
    <n v="2512.0100000000002"/>
    <n v="445.33"/>
    <n v="2957.34"/>
    <n v="100111"/>
    <n v="26.166770833333334"/>
    <n v="96"/>
    <n v="209.33416666666668"/>
    <n v="41.87"/>
    <n v="314.00125000000003"/>
    <m/>
    <m/>
    <m/>
  </r>
  <r>
    <x v="15"/>
    <x v="10"/>
    <n v="330"/>
    <n v="15"/>
    <n v="36.97"/>
    <n v="330"/>
    <n v="36.97"/>
    <n v="0"/>
    <n v="366.97"/>
    <n v="67.010000000000005"/>
    <n v="433.98"/>
    <n v="100124"/>
    <n v="24.46466666666667"/>
    <n v="15"/>
    <n v="0"/>
    <n v="0"/>
    <n v="0"/>
    <m/>
    <m/>
    <m/>
  </r>
  <r>
    <x v="17"/>
    <x v="10"/>
    <n v="986"/>
    <n v="62"/>
    <n v="279.10000000000002"/>
    <n v="1364"/>
    <n v="217.1"/>
    <n v="440"/>
    <n v="1643.1"/>
    <n v="289.72000000000003"/>
    <n v="1932.82"/>
    <n v="100144"/>
    <n v="26.501612903225805"/>
    <n v="62"/>
    <n v="291.51774193548385"/>
    <n v="55.39"/>
    <n v="437.27661290322578"/>
    <m/>
    <m/>
    <m/>
  </r>
  <r>
    <x v="18"/>
    <x v="10"/>
    <n v="2132"/>
    <n v="80"/>
    <n v="248.4"/>
    <n v="2357"/>
    <n v="248.4"/>
    <n v="225"/>
    <n v="2605.4"/>
    <n v="422.64"/>
    <n v="3028.04"/>
    <s v="DD"/>
    <n v="25.418536585365853"/>
    <n v="102.5"/>
    <n v="285.95853658536583"/>
    <n v="51.47"/>
    <n v="428.93780487804872"/>
    <m/>
    <m/>
    <m/>
  </r>
  <r>
    <x v="19"/>
    <x v="10"/>
    <n v="2219"/>
    <n v="0"/>
    <n v="367.97"/>
    <n v="2219"/>
    <n v="367.97"/>
    <n v="0"/>
    <n v="2586.9699999999998"/>
    <n v="259.04000000000002"/>
    <n v="2846.01"/>
    <s v="DD"/>
    <n v="26.807979274611402"/>
    <n v="96.5"/>
    <n v="221.16582901554406"/>
    <n v="39.81"/>
    <n v="331.74874352331608"/>
    <m/>
    <m/>
    <m/>
  </r>
  <r>
    <x v="20"/>
    <x v="10"/>
    <n v="2150"/>
    <n v="80"/>
    <n v="793.87"/>
    <n v="1760"/>
    <n v="403.87"/>
    <n v="0"/>
    <n v="2553.87"/>
    <n v="402.14"/>
    <n v="2956.01"/>
    <s v="DD"/>
    <n v="27.314117647058822"/>
    <n v="93.5"/>
    <n v="184.37029411764706"/>
    <n v="31.34"/>
    <n v="276.55544117647059"/>
    <m/>
    <m/>
    <m/>
  </r>
  <r>
    <x v="21"/>
    <x v="10"/>
    <n v="2093"/>
    <n v="80"/>
    <n v="722.71"/>
    <n v="1760"/>
    <n v="389.71"/>
    <n v="0"/>
    <n v="2482.71"/>
    <n v="395.41"/>
    <n v="2878.12"/>
    <s v="DD"/>
    <n v="27.282527472527473"/>
    <n v="91"/>
    <n v="150.05390109890109"/>
    <n v="25.51"/>
    <n v="225.08085164835165"/>
    <m/>
    <m/>
    <m/>
  </r>
  <r>
    <x v="22"/>
    <x v="10"/>
    <n v="2093"/>
    <n v="80"/>
    <n v="722.71"/>
    <n v="1760"/>
    <n v="389.71"/>
    <n v="0"/>
    <n v="2482.71"/>
    <n v="395.41"/>
    <n v="2878.12"/>
    <s v="DD"/>
    <n v="28.212613636363638"/>
    <n v="88"/>
    <n v="112.85045454545455"/>
    <n v="18.059999999999999"/>
    <n v="169.27568181818182"/>
    <m/>
    <m/>
    <m/>
  </r>
  <r>
    <x v="23"/>
    <x v="10"/>
    <n v="2024"/>
    <n v="80"/>
    <n v="636.53"/>
    <n v="1760"/>
    <n v="372.53"/>
    <n v="0"/>
    <n v="2396.5300000000002"/>
    <n v="383.16"/>
    <n v="2779.69"/>
    <s v="DD"/>
    <n v="27.233295454545452"/>
    <n v="88"/>
    <n v="108.93318181818181"/>
    <n v="17.43"/>
    <n v="163.3997727272727"/>
    <m/>
    <m/>
    <m/>
  </r>
  <r>
    <x v="24"/>
    <x v="10"/>
    <n v="2024"/>
    <n v="80"/>
    <n v="636.54999999999995"/>
    <n v="1760"/>
    <n v="372.55"/>
    <n v="0"/>
    <n v="2396.5500000000002"/>
    <n v="383.19"/>
    <n v="2779.74"/>
    <n v="100175"/>
    <n v="27.233522727272728"/>
    <n v="88"/>
    <n v="108.93409090909091"/>
    <n v="17.43"/>
    <n v="163.40113636363637"/>
    <m/>
    <m/>
    <m/>
  </r>
  <r>
    <x v="27"/>
    <x v="10"/>
    <n v="828"/>
    <n v="52"/>
    <n v="127.82"/>
    <n v="792"/>
    <n v="91.82"/>
    <n v="0"/>
    <n v="919.82"/>
    <n v="157.69"/>
    <n v="1077.51"/>
    <s v="DD"/>
    <n v="17.688846153846153"/>
    <n v="52"/>
    <n v="106.13307692307691"/>
    <n v="15.92"/>
    <n v="159.19961538461536"/>
    <m/>
    <m/>
    <m/>
  </r>
  <r>
    <x v="28"/>
    <x v="10"/>
    <n v="2058"/>
    <n v="80"/>
    <n v="679.01"/>
    <n v="1760"/>
    <n v="381.01"/>
    <n v="0"/>
    <n v="2439.0100000000002"/>
    <n v="387.13"/>
    <n v="2826.14"/>
    <s v="DD"/>
    <n v="27.251508379888271"/>
    <n v="89.5"/>
    <n v="129.44466480446928"/>
    <n v="19.420000000000002"/>
    <n v="194.16699720670391"/>
    <m/>
    <m/>
    <m/>
  </r>
  <r>
    <x v="29"/>
    <x v="10"/>
    <n v="2587"/>
    <n v="80"/>
    <n v="1242.6500000000001"/>
    <n v="1760"/>
    <n v="415.65"/>
    <n v="0"/>
    <n v="3002.65"/>
    <n v="439.48"/>
    <n v="3442.13"/>
    <s v="DD"/>
    <n v="26.690222222222221"/>
    <n v="112.5"/>
    <n v="433.7161111111111"/>
    <n v="60.72"/>
    <n v="650.57416666666666"/>
    <m/>
    <m/>
    <m/>
  </r>
  <r>
    <x v="30"/>
    <x v="10"/>
    <n v="1288"/>
    <n v="56"/>
    <n v="198.81"/>
    <n v="1232"/>
    <n v="142.81"/>
    <n v="0"/>
    <n v="1430.81"/>
    <n v="245.3"/>
    <n v="1676.11"/>
    <s v="DD"/>
    <n v="17.885124999999999"/>
    <n v="80"/>
    <n v="0"/>
    <n v="0"/>
    <n v="0"/>
    <m/>
    <m/>
    <m/>
  </r>
  <r>
    <x v="31"/>
    <x v="10"/>
    <n v="943"/>
    <n v="41"/>
    <n v="104.57"/>
    <n v="943"/>
    <n v="104.57"/>
    <n v="0"/>
    <n v="1047.57"/>
    <n v="179.59"/>
    <n v="1227.1600000000001"/>
    <s v="DD"/>
    <n v="25.550487804878045"/>
    <n v="41"/>
    <n v="12.775243902439023"/>
    <n v="1.66"/>
    <n v="19.162865853658534"/>
    <m/>
    <m/>
    <m/>
  </r>
  <r>
    <x v="32"/>
    <x v="10"/>
    <n v="2196"/>
    <n v="80"/>
    <n v="318.43"/>
    <n v="2196"/>
    <n v="318.47000000000003"/>
    <n v="-0.04"/>
    <n v="2514.4299999999998"/>
    <n v="394.12"/>
    <n v="2908.55"/>
    <s v="DD"/>
    <n v="26.329109947643978"/>
    <n v="95.5"/>
    <n v="204.05060209424084"/>
    <n v="26.53"/>
    <n v="306.07590314136127"/>
    <m/>
    <m/>
    <m/>
  </r>
  <r>
    <x v="33"/>
    <x v="10"/>
    <n v="2449"/>
    <n v="80"/>
    <n v="381.36"/>
    <n v="2449"/>
    <n v="381.36"/>
    <n v="0"/>
    <n v="2830.36"/>
    <n v="423.5"/>
    <n v="3253.86"/>
    <s v="DD"/>
    <n v="26.576150234741785"/>
    <n v="106.5"/>
    <n v="352.13399061032868"/>
    <n v="42.26"/>
    <n v="528.20098591549299"/>
    <m/>
    <m/>
    <m/>
  </r>
  <r>
    <x v="34"/>
    <x v="10"/>
    <n v="2342"/>
    <n v="80"/>
    <n v="367.19"/>
    <n v="2392"/>
    <n v="367.19"/>
    <n v="50"/>
    <n v="2759.19"/>
    <n v="416.86"/>
    <n v="3176.05"/>
    <s v="DD"/>
    <n v="26.530673076923076"/>
    <n v="104"/>
    <n v="318.3680769230769"/>
    <n v="38.200000000000003"/>
    <n v="477.55211538461538"/>
    <m/>
    <m/>
    <m/>
  </r>
  <r>
    <x v="35"/>
    <x v="10"/>
    <n v="2047"/>
    <n v="80"/>
    <n v="285.45"/>
    <n v="2047"/>
    <n v="285.45"/>
    <n v="0"/>
    <n v="2332.4499999999998"/>
    <n v="377.23"/>
    <n v="2709.68"/>
    <s v="DD"/>
    <n v="26.207303370786516"/>
    <n v="89"/>
    <n v="117.93286516853932"/>
    <n v="12.97"/>
    <n v="176.89929775280899"/>
    <m/>
    <m/>
    <m/>
  </r>
  <r>
    <x v="37"/>
    <x v="10"/>
    <n v="1541"/>
    <n v="67"/>
    <n v="178.37"/>
    <n v="1541"/>
    <n v="178.37"/>
    <n v="0"/>
    <n v="1719.37"/>
    <n v="320.26"/>
    <n v="2039.63"/>
    <s v="DD"/>
    <n v="25.662238805970148"/>
    <n v="67"/>
    <n v="346.44022388059699"/>
    <n v="38.11"/>
    <n v="519.66033582089551"/>
    <m/>
    <m/>
    <m/>
  </r>
  <r>
    <x v="38"/>
    <x v="10"/>
    <n v="2576"/>
    <n v="80"/>
    <n v="412.91"/>
    <n v="2576"/>
    <n v="412.91"/>
    <n v="0"/>
    <n v="2988.91"/>
    <n v="438.21"/>
    <n v="3427.12"/>
    <s v="DD"/>
    <n v="26.568088888888887"/>
    <n v="112.5"/>
    <n v="431.73144444444443"/>
    <n v="43.17"/>
    <n v="647.59716666666668"/>
    <m/>
    <m/>
    <m/>
  </r>
  <r>
    <x v="39"/>
    <x v="10"/>
    <n v="1989"/>
    <n v="80"/>
    <n v="272.81"/>
    <n v="1989"/>
    <n v="272.81"/>
    <n v="0"/>
    <n v="2261.81"/>
    <n v="370.66"/>
    <n v="2632.47"/>
    <s v="DD"/>
    <n v="26.148092485549132"/>
    <n v="86.5"/>
    <n v="84.981300578034677"/>
    <n v="8.5"/>
    <n v="127.47195086705202"/>
    <m/>
    <m/>
    <m/>
  </r>
  <r>
    <x v="40"/>
    <x v="10"/>
    <n v="2323"/>
    <n v="80"/>
    <n v="350.04"/>
    <n v="2323"/>
    <n v="350.04"/>
    <n v="0"/>
    <n v="2673.04"/>
    <n v="408.86"/>
    <n v="3081.9"/>
    <s v="DD"/>
    <n v="26.335369458128078"/>
    <n v="101.5"/>
    <n v="283.10522167487682"/>
    <n v="25.48"/>
    <n v="424.65783251231522"/>
    <m/>
    <m/>
    <m/>
  </r>
  <r>
    <x v="41"/>
    <x v="10"/>
    <n v="2492"/>
    <n v="80"/>
    <n v="392.03"/>
    <n v="2492"/>
    <n v="392.03"/>
    <n v="0"/>
    <n v="2884.03"/>
    <n v="403.56"/>
    <n v="3287.59"/>
    <s v="DD"/>
    <n v="28.696815920398006"/>
    <n v="100.5"/>
    <n v="294.14236318407956"/>
    <n v="26.47"/>
    <n v="441.21354477611931"/>
    <m/>
    <m/>
    <m/>
  </r>
  <r>
    <x v="42"/>
    <x v="10"/>
    <n v="1848"/>
    <n v="49.5"/>
    <n v="242.07"/>
    <n v="1848"/>
    <n v="242.07"/>
    <n v="0"/>
    <n v="2090.0700000000002"/>
    <n v="320.44"/>
    <n v="2410.5100000000002"/>
    <s v="DD"/>
    <n v="27.143766233766236"/>
    <n v="77"/>
    <n v="128.93288961038962"/>
    <n v="11.6"/>
    <n v="193.39933441558443"/>
    <m/>
    <m/>
    <m/>
  </r>
  <r>
    <x v="62"/>
    <x v="10"/>
    <n v="2364"/>
    <n v="80"/>
    <n v="360.22"/>
    <n v="2364"/>
    <n v="360.22"/>
    <n v="0"/>
    <n v="2724.22"/>
    <n v="368.94"/>
    <n v="3093.16"/>
    <n v="100192"/>
    <n v="27.657055837563455"/>
    <n v="98.5"/>
    <n v="255.82776649746197"/>
    <n v="20.47"/>
    <n v="383.74164974619293"/>
    <m/>
    <m/>
    <m/>
  </r>
  <r>
    <x v="44"/>
    <x v="10"/>
    <n v="864"/>
    <n v="36"/>
    <n v="94.9"/>
    <n v="864"/>
    <n v="94.9"/>
    <n v="0"/>
    <n v="958.9"/>
    <n v="167.06"/>
    <n v="1125.96"/>
    <s v="DD"/>
    <n v="26.636111111111109"/>
    <n v="36"/>
    <n v="0"/>
    <n v="0"/>
    <n v="0"/>
    <m/>
    <m/>
    <m/>
  </r>
  <r>
    <x v="46"/>
    <x v="10"/>
    <n v="2412"/>
    <n v="80"/>
    <m/>
    <n v="2424"/>
    <n v="298.38"/>
    <n v="12"/>
    <n v="2722.38"/>
    <n v="400.28"/>
    <n v="3122.66"/>
    <s v="DD"/>
    <n v="24"/>
    <n v="101"/>
    <n v="252"/>
    <n v="17.64"/>
    <n v="378"/>
    <m/>
    <m/>
    <m/>
  </r>
  <r>
    <x v="47"/>
    <x v="10"/>
    <n v="1717"/>
    <n v="73"/>
    <m/>
    <n v="1752"/>
    <n v="169.19"/>
    <n v="35"/>
    <n v="1921.19"/>
    <n v="275.86"/>
    <n v="2197.0500000000002"/>
    <s v="DD"/>
    <n v="24"/>
    <n v="73"/>
    <n v="0"/>
    <n v="0"/>
    <n v="0"/>
    <m/>
    <m/>
    <m/>
  </r>
  <r>
    <x v="48"/>
    <x v="10"/>
    <n v="2616"/>
    <n v="80"/>
    <m/>
    <n v="2616"/>
    <n v="325.45999999999998"/>
    <n v="0"/>
    <n v="2941.46"/>
    <n v="357.63"/>
    <n v="3299.09"/>
    <s v="DD"/>
    <n v="24"/>
    <n v="109"/>
    <n v="348"/>
    <n v="20.88"/>
    <n v="522"/>
    <m/>
    <m/>
    <m/>
  </r>
  <r>
    <x v="49"/>
    <x v="10"/>
    <n v="2436"/>
    <n v="45"/>
    <m/>
    <n v="2436"/>
    <n v="291.7"/>
    <n v="0"/>
    <n v="2727.7"/>
    <n v="338.73"/>
    <n v="3066.43"/>
    <s v="DD"/>
    <n v="24"/>
    <n v="101.5"/>
    <n v="258"/>
    <n v="12.9"/>
    <n v="387"/>
    <m/>
    <m/>
    <m/>
  </r>
  <r>
    <x v="50"/>
    <x v="10"/>
    <n v="1751.15"/>
    <n v="45"/>
    <m/>
    <n v="1952.5"/>
    <n v="201.35"/>
    <n v="0"/>
    <n v="1952.5"/>
    <n v="281.14999999999998"/>
    <n v="2233.65"/>
    <s v="DD"/>
    <n v="27.5"/>
    <n v="71"/>
    <n v="68.75"/>
    <n v="3.44"/>
    <n v="103.125"/>
    <m/>
    <m/>
    <m/>
  </r>
  <r>
    <x v="9"/>
    <x v="11"/>
    <m/>
    <n v="99.75"/>
    <m/>
    <m/>
    <m/>
    <m/>
    <m/>
    <m/>
    <m/>
    <m/>
    <m/>
    <m/>
    <m/>
    <n v="0"/>
    <m/>
    <m/>
    <m/>
    <m/>
  </r>
  <r>
    <x v="10"/>
    <x v="11"/>
    <m/>
    <n v="116"/>
    <m/>
    <m/>
    <m/>
    <m/>
    <m/>
    <m/>
    <m/>
    <m/>
    <m/>
    <m/>
    <m/>
    <n v="0"/>
    <m/>
    <m/>
    <m/>
    <m/>
  </r>
  <r>
    <x v="11"/>
    <x v="11"/>
    <m/>
    <n v="103"/>
    <m/>
    <m/>
    <m/>
    <m/>
    <m/>
    <m/>
    <m/>
    <m/>
    <m/>
    <m/>
    <m/>
    <n v="0"/>
    <m/>
    <m/>
    <m/>
    <m/>
  </r>
  <r>
    <x v="12"/>
    <x v="11"/>
    <n v="1768"/>
    <n v="80"/>
    <n v="200.47"/>
    <n v="1760"/>
    <n v="192.47"/>
    <n v="0"/>
    <n v="1960.47"/>
    <n v="357.76"/>
    <n v="2318.23"/>
    <s v="DD"/>
    <n v="20.4215625"/>
    <n v="96"/>
    <n v="163.3725"/>
    <n v="34.31"/>
    <n v="245.05875"/>
    <n v="409.55"/>
    <m/>
    <m/>
  </r>
  <r>
    <x v="13"/>
    <x v="11"/>
    <n v="1302"/>
    <n v="45"/>
    <n v="115.79"/>
    <n v="1725"/>
    <n v="253.79"/>
    <n v="285"/>
    <n v="1840.79"/>
    <n v="323.64999999999998"/>
    <n v="2164.44"/>
    <s v="DD"/>
    <n v="26.678115942028985"/>
    <n v="69"/>
    <n v="66.69528985507246"/>
    <n v="14.01"/>
    <n v="100.04293478260868"/>
    <m/>
    <m/>
    <m/>
  </r>
  <r>
    <x v="14"/>
    <x v="11"/>
    <n v="1542"/>
    <n v="43"/>
    <n v="32.61"/>
    <n v="1760"/>
    <n v="250.61"/>
    <n v="0"/>
    <n v="1792.61"/>
    <n v="340.87"/>
    <n v="2133.48"/>
    <s v="DD"/>
    <n v="26.755373134328355"/>
    <n v="67"/>
    <n v="40.133059701492535"/>
    <n v="8.0299999999999994"/>
    <n v="60.199589552238805"/>
    <m/>
    <m/>
    <m/>
  </r>
  <r>
    <x v="15"/>
    <x v="11"/>
    <n v="115"/>
    <n v="5"/>
    <n v="17.75"/>
    <n v="110"/>
    <n v="12.75"/>
    <n v="0"/>
    <n v="127.75"/>
    <n v="22.89"/>
    <n v="150.63999999999999"/>
    <s v="DD"/>
    <n v="25.55"/>
    <n v="5"/>
    <n v="0"/>
    <n v="0"/>
    <n v="0"/>
    <m/>
    <m/>
    <m/>
  </r>
  <r>
    <x v="16"/>
    <x v="12"/>
    <n v="1593"/>
    <n v="80"/>
    <n v="224.07"/>
    <n v="1593"/>
    <n v="224.07"/>
    <n v="0"/>
    <n v="1817.07"/>
    <n v="340.25"/>
    <n v="2157.3200000000002"/>
    <s v="DD"/>
    <e v="#DIV/0!"/>
    <m/>
    <e v="#DIV/0!"/>
    <e v="#VALUE!"/>
    <e v="#DIV/0!"/>
    <n v="409.55"/>
    <m/>
    <m/>
  </r>
  <r>
    <x v="16"/>
    <x v="12"/>
    <n v="2377"/>
    <n v="80"/>
    <n v="414.1"/>
    <n v="1377"/>
    <n v="414.1"/>
    <n v="0"/>
    <n v="2791.1"/>
    <n v="436.59"/>
    <n v="3227.69"/>
    <s v="DD"/>
    <e v="#DIV/0!"/>
    <m/>
    <e v="#DIV/0!"/>
    <e v="#VALUE!"/>
    <e v="#DIV/0!"/>
    <m/>
    <m/>
    <m/>
  </r>
  <r>
    <x v="16"/>
    <x v="12"/>
    <n v="1510"/>
    <n v="80"/>
    <m/>
    <n v="1510"/>
    <n v="165.91"/>
    <n v="0"/>
    <n v="1675.91"/>
    <n v="309.88"/>
    <n v="1985.79"/>
    <s v="DD"/>
    <e v="#DIV/0!"/>
    <m/>
    <e v="#DIV/0!"/>
    <e v="#VALUE!"/>
    <e v="#DIV/0!"/>
    <m/>
    <m/>
    <m/>
  </r>
  <r>
    <x v="16"/>
    <x v="12"/>
    <n v="2228"/>
    <n v="80"/>
    <m/>
    <n v="1240"/>
    <n v="304.42"/>
    <n v="12"/>
    <n v="2544.42"/>
    <n v="382.08"/>
    <n v="2926.5"/>
    <s v="DD"/>
    <e v="#DIV/0!"/>
    <m/>
    <e v="#DIV/0!"/>
    <e v="#VALUE!"/>
    <e v="#DIV/0!"/>
    <m/>
    <m/>
    <m/>
  </r>
  <r>
    <x v="16"/>
    <x v="12"/>
    <n v="1905"/>
    <n v="80"/>
    <m/>
    <n v="1940"/>
    <n v="235.89"/>
    <n v="35"/>
    <n v="2175.89"/>
    <n v="295.39"/>
    <n v="2471.2800000000002"/>
    <s v="DD"/>
    <e v="#DIV/0!"/>
    <m/>
    <e v="#DIV/0!"/>
    <e v="#VALUE!"/>
    <e v="#DIV/0!"/>
    <m/>
    <m/>
    <m/>
  </r>
  <r>
    <x v="16"/>
    <x v="12"/>
    <n v="2100"/>
    <n v="80"/>
    <m/>
    <n v="2100"/>
    <n v="267.73"/>
    <n v="0"/>
    <n v="2367.73"/>
    <n v="307.51"/>
    <n v="2675.24"/>
    <n v="100196"/>
    <e v="#DIV/0!"/>
    <m/>
    <e v="#DIV/0!"/>
    <e v="#VALUE!"/>
    <e v="#DIV/0!"/>
    <m/>
    <m/>
    <m/>
  </r>
  <r>
    <x v="16"/>
    <x v="13"/>
    <n v="2500"/>
    <n v="60"/>
    <m/>
    <n v="2500"/>
    <n v="512.6"/>
    <n v="0"/>
    <n v="3012.6"/>
    <n v="367.65"/>
    <n v="3380.25"/>
    <s v="DD"/>
    <e v="#DIV/0!"/>
    <m/>
    <e v="#DIV/0!"/>
    <e v="#VALUE!"/>
    <e v="#DIV/0!"/>
    <n v="409.55"/>
    <m/>
    <m/>
  </r>
  <r>
    <x v="47"/>
    <x v="13"/>
    <n v="1069"/>
    <n v="42"/>
    <m/>
    <n v="1269"/>
    <n v="217.41"/>
    <n v="200"/>
    <n v="1486.41"/>
    <n v="224.57"/>
    <n v="1710.98"/>
    <s v="DD"/>
    <n v="18"/>
    <n v="70.5"/>
    <n v="18"/>
    <n v="1.08"/>
    <n v="27"/>
    <m/>
    <m/>
    <m/>
  </r>
  <r>
    <x v="35"/>
    <x v="14"/>
    <n v="1161"/>
    <n v="44.5"/>
    <n v="134.22999999999999"/>
    <n v="1161"/>
    <n v="134.22999999999999"/>
    <n v="0"/>
    <n v="1295.23"/>
    <n v="248.49"/>
    <n v="1543.72"/>
    <s v="DD"/>
    <n v="17.385637583892617"/>
    <n v="74.5"/>
    <n v="39.117684563758388"/>
    <n v="4.3"/>
    <n v="58.676526845637582"/>
    <n v="409.55"/>
    <m/>
    <m/>
  </r>
  <r>
    <x v="37"/>
    <x v="14"/>
    <n v="1792"/>
    <n v="80"/>
    <n v="266.93"/>
    <n v="1962"/>
    <n v="266.93"/>
    <n v="170"/>
    <n v="2228.9299999999998"/>
    <n v="380.99"/>
    <n v="2609.92"/>
    <s v="DD"/>
    <n v="20.448899082568804"/>
    <n v="109"/>
    <n v="296.50903669724767"/>
    <n v="32.619999999999997"/>
    <n v="444.7635550458715"/>
    <m/>
    <m/>
    <m/>
  </r>
  <r>
    <x v="38"/>
    <x v="14"/>
    <n v="1916"/>
    <n v="80"/>
    <n v="278.69"/>
    <n v="2016"/>
    <n v="278.69"/>
    <n v="100"/>
    <n v="2294.69"/>
    <n v="387.48"/>
    <n v="2682.17"/>
    <s v="DD"/>
    <n v="20.397244444444446"/>
    <n v="112.5"/>
    <n v="331.45522222222223"/>
    <n v="33.15"/>
    <n v="497.18283333333335"/>
    <m/>
    <m/>
    <m/>
  </r>
  <r>
    <x v="39"/>
    <x v="14"/>
    <n v="1710"/>
    <n v="80"/>
    <n v="211.96"/>
    <n v="1710"/>
    <n v="211.96"/>
    <n v="0"/>
    <n v="1921.96"/>
    <n v="346.18"/>
    <n v="2268.14"/>
    <s v="DD"/>
    <n v="20.231157894736842"/>
    <n v="95"/>
    <n v="151.73368421052632"/>
    <n v="15.17"/>
    <n v="227.60052631578947"/>
    <m/>
    <m/>
    <m/>
  </r>
  <r>
    <x v="40"/>
    <x v="14"/>
    <n v="1890"/>
    <n v="80"/>
    <n v="251.23"/>
    <n v="1890"/>
    <n v="251.23"/>
    <n v="0"/>
    <n v="2141.23"/>
    <n v="359.47"/>
    <n v="2500.6999999999998"/>
    <s v="DD"/>
    <n v="20.392666666666667"/>
    <n v="105"/>
    <n v="254.90833333333333"/>
    <n v="22.94"/>
    <n v="382.36250000000001"/>
    <m/>
    <m/>
    <m/>
  </r>
  <r>
    <x v="41"/>
    <x v="14"/>
    <n v="1909"/>
    <n v="80"/>
    <n v="255.36"/>
    <n v="1909"/>
    <n v="255.36"/>
    <n v="0"/>
    <n v="2164.36"/>
    <n v="361.6"/>
    <n v="2525.96"/>
    <s v="DD"/>
    <n v="21.535920398009953"/>
    <n v="100.5"/>
    <n v="220.74318407960203"/>
    <n v="19.87"/>
    <n v="331.11477611940302"/>
    <m/>
    <m/>
    <m/>
  </r>
  <r>
    <x v="42"/>
    <x v="14"/>
    <n v="1453"/>
    <n v="49.5"/>
    <n v="170.82"/>
    <n v="1453"/>
    <n v="170.82"/>
    <n v="0"/>
    <n v="1623.82"/>
    <n v="311.39"/>
    <n v="1935.21"/>
    <s v="DD"/>
    <n v="21.226405228758168"/>
    <n v="76.5"/>
    <n v="100.8254248366013"/>
    <n v="9.07"/>
    <n v="151.23813725490194"/>
    <m/>
    <m/>
    <m/>
  </r>
  <r>
    <x v="43"/>
    <x v="14"/>
    <n v="2707"/>
    <n v="80"/>
    <n v="445.47"/>
    <n v="2707"/>
    <n v="445.47"/>
    <n v="0"/>
    <n v="3152.47"/>
    <n v="453.41"/>
    <n v="3605.88"/>
    <s v="DD"/>
    <n v="32.00477157360406"/>
    <n v="98.5"/>
    <n v="296.04413705583755"/>
    <n v="23.68"/>
    <n v="444.0662055837563"/>
    <m/>
    <m/>
    <m/>
  </r>
  <r>
    <x v="16"/>
    <x v="15"/>
    <n v="3625"/>
    <n v="80"/>
    <n v="547.58000000000004"/>
    <n v="2640"/>
    <n v="562.58000000000004"/>
    <n v="0"/>
    <n v="4187.58"/>
    <n v="481.22"/>
    <n v="4668.8"/>
    <n v="100102"/>
    <e v="#DIV/0!"/>
    <m/>
    <e v="#DIV/0!"/>
    <e v="#VALUE!"/>
    <e v="#DIV/0!"/>
    <n v="409.55"/>
    <m/>
    <m/>
  </r>
  <r>
    <x v="16"/>
    <x v="15"/>
    <n v="1060"/>
    <n v="60"/>
    <n v="154.24"/>
    <n v="1620"/>
    <n v="274.24"/>
    <n v="440"/>
    <n v="1774.24"/>
    <n v="298.88"/>
    <n v="2073.12"/>
    <n v="100105"/>
    <e v="#DIV/0!"/>
    <m/>
    <e v="#DIV/0!"/>
    <e v="#VALUE!"/>
    <e v="#DIV/0!"/>
    <m/>
    <m/>
    <m/>
  </r>
  <r>
    <x v="16"/>
    <x v="15"/>
    <n v="1825"/>
    <n v="80"/>
    <n v="636.5"/>
    <n v="2800"/>
    <n v="611.5"/>
    <n v="1000"/>
    <n v="3436.5"/>
    <n v="497.87"/>
    <n v="3934.37"/>
    <n v="100113"/>
    <e v="#DIV/0!"/>
    <m/>
    <e v="#DIV/0!"/>
    <e v="#VALUE!"/>
    <e v="#DIV/0!"/>
    <m/>
    <m/>
    <m/>
  </r>
  <r>
    <x v="16"/>
    <x v="15"/>
    <n v="1125"/>
    <n v="45"/>
    <n v="89.81"/>
    <n v="1215"/>
    <n v="179.81"/>
    <n v="0"/>
    <n v="1304.81"/>
    <n v="221.57"/>
    <n v="1526.38"/>
    <n v="100119"/>
    <e v="#DIV/0!"/>
    <m/>
    <e v="#DIV/0!"/>
    <e v="#VALUE!"/>
    <e v="#DIV/0!"/>
    <m/>
    <m/>
    <m/>
  </r>
  <r>
    <x v="16"/>
    <x v="15"/>
    <n v="425"/>
    <n v="80"/>
    <n v="168.62"/>
    <n v="1424.8"/>
    <n v="168.42"/>
    <n v="1000"/>
    <n v="1593.42"/>
    <n v="320.83"/>
    <n v="1914.25"/>
    <n v="100128"/>
    <e v="#DIV/0!"/>
    <m/>
    <e v="#DIV/0!"/>
    <e v="#VALUE!"/>
    <e v="#DIV/0!"/>
    <m/>
    <m/>
    <m/>
  </r>
  <r>
    <x v="16"/>
    <x v="15"/>
    <n v="425"/>
    <n v="80"/>
    <n v="1409.86"/>
    <n v="2160"/>
    <n v="644.86"/>
    <n v="2500"/>
    <n v="3569.86"/>
    <n v="519.66999999999996"/>
    <n v="4089.53"/>
    <n v="100137"/>
    <e v="#DIV/0!"/>
    <m/>
    <e v="#DIV/0!"/>
    <e v="#VALUE!"/>
    <e v="#DIV/0!"/>
    <m/>
    <m/>
    <m/>
  </r>
  <r>
    <x v="16"/>
    <x v="15"/>
    <n v="625"/>
    <n v="25"/>
    <n v="68.06"/>
    <n v="625"/>
    <n v="68.06"/>
    <n v="0"/>
    <n v="693.06"/>
    <n v="118.92"/>
    <n v="811.98"/>
    <s v="DD"/>
    <e v="#DIV/0!"/>
    <m/>
    <e v="#DIV/0!"/>
    <e v="#VALUE!"/>
    <e v="#DIV/0!"/>
    <m/>
    <m/>
    <m/>
  </r>
  <r>
    <x v="16"/>
    <x v="15"/>
    <n v="2837"/>
    <n v="0"/>
    <m/>
    <n v="2837"/>
    <n v="569.94000000000005"/>
    <n v="0"/>
    <n v="3406.94"/>
    <n v="322.3"/>
    <n v="3729.24"/>
    <s v="DD"/>
    <e v="#DIV/0!"/>
    <m/>
    <e v="#DIV/0!"/>
    <e v="#VALUE!"/>
    <e v="#DIV/0!"/>
    <m/>
    <m/>
    <m/>
  </r>
  <r>
    <x v="16"/>
    <x v="15"/>
    <n v="2875"/>
    <n v="80"/>
    <n v="1347.43"/>
    <n v="2160"/>
    <n v="632.42999999999995"/>
    <n v="0"/>
    <n v="3507.43"/>
    <n v="492.34"/>
    <n v="3999.77"/>
    <s v="DD"/>
    <e v="#DIV/0!"/>
    <m/>
    <e v="#DIV/0!"/>
    <e v="#VALUE!"/>
    <e v="#DIV/0!"/>
    <m/>
    <m/>
    <m/>
  </r>
  <r>
    <x v="16"/>
    <x v="15"/>
    <n v="2750"/>
    <n v="80"/>
    <n v="1191.3699999999999"/>
    <n v="2160"/>
    <n v="601.37"/>
    <n v="0"/>
    <n v="3351.37"/>
    <n v="477.58"/>
    <n v="3828.95"/>
    <s v="DD"/>
    <e v="#DIV/0!"/>
    <m/>
    <e v="#DIV/0!"/>
    <e v="#VALUE!"/>
    <e v="#DIV/0!"/>
    <m/>
    <m/>
    <m/>
  </r>
  <r>
    <x v="16"/>
    <x v="15"/>
    <n v="3050"/>
    <n v="80"/>
    <n v="1565.92"/>
    <n v="2160"/>
    <n v="675.92"/>
    <n v="0"/>
    <n v="3725.92"/>
    <n v="513.01"/>
    <n v="4238.93"/>
    <s v="DD"/>
    <e v="#DIV/0!"/>
    <m/>
    <e v="#DIV/0!"/>
    <e v="#VALUE!"/>
    <e v="#DIV/0!"/>
    <m/>
    <m/>
    <m/>
  </r>
  <r>
    <x v="16"/>
    <x v="15"/>
    <n v="1325"/>
    <n v="53"/>
    <n v="123.35"/>
    <n v="1431"/>
    <n v="229.35"/>
    <n v="0"/>
    <n v="1554.35"/>
    <n v="250.75"/>
    <n v="1805.1"/>
    <s v="DD"/>
    <e v="#DIV/0!"/>
    <m/>
    <e v="#DIV/0!"/>
    <e v="#VALUE!"/>
    <e v="#DIV/0!"/>
    <m/>
    <m/>
    <m/>
  </r>
  <r>
    <x v="16"/>
    <x v="15"/>
    <n v="1775"/>
    <n v="71"/>
    <n v="211.12"/>
    <n v="1917"/>
    <n v="353.12"/>
    <n v="0"/>
    <n v="2128.12"/>
    <n v="340.2"/>
    <n v="2468.3200000000002"/>
    <s v="DD"/>
    <e v="#DIV/0!"/>
    <m/>
    <e v="#DIV/0!"/>
    <e v="#VALUE!"/>
    <e v="#DIV/0!"/>
    <m/>
    <m/>
    <m/>
  </r>
  <r>
    <x v="16"/>
    <x v="15"/>
    <n v="2087"/>
    <n v="80"/>
    <n v="363.6"/>
    <n v="2160"/>
    <n v="436.6"/>
    <n v="0"/>
    <n v="2523.6"/>
    <n v="394.97"/>
    <n v="2918.57"/>
    <s v="DD"/>
    <e v="#DIV/0!"/>
    <m/>
    <e v="#DIV/0!"/>
    <e v="#VALUE!"/>
    <e v="#DIV/0!"/>
    <m/>
    <m/>
    <m/>
  </r>
  <r>
    <x v="16"/>
    <x v="15"/>
    <n v="1550"/>
    <n v="62"/>
    <n v="167.25"/>
    <n v="1674"/>
    <n v="291.25"/>
    <n v="0"/>
    <n v="1841.25"/>
    <n v="295.48"/>
    <n v="2136.73"/>
    <s v="DD"/>
    <e v="#DIV/0!"/>
    <m/>
    <e v="#DIV/0!"/>
    <e v="#VALUE!"/>
    <e v="#DIV/0!"/>
    <m/>
    <m/>
    <m/>
  </r>
  <r>
    <x v="63"/>
    <x v="16"/>
    <m/>
    <n v="58"/>
    <m/>
    <m/>
    <m/>
    <m/>
    <m/>
    <m/>
    <m/>
    <m/>
    <m/>
    <m/>
    <m/>
    <n v="0"/>
    <m/>
    <m/>
    <m/>
    <m/>
  </r>
  <r>
    <x v="64"/>
    <x v="17"/>
    <m/>
    <n v="51"/>
    <m/>
    <m/>
    <m/>
    <m/>
    <m/>
    <m/>
    <m/>
    <m/>
    <m/>
    <m/>
    <m/>
    <n v="0"/>
    <m/>
    <m/>
    <m/>
    <m/>
  </r>
  <r>
    <x v="65"/>
    <x v="17"/>
    <m/>
    <n v="133.5"/>
    <m/>
    <m/>
    <m/>
    <m/>
    <m/>
    <m/>
    <m/>
    <m/>
    <m/>
    <m/>
    <m/>
    <n v="0"/>
    <m/>
    <m/>
    <m/>
    <m/>
  </r>
  <r>
    <x v="66"/>
    <x v="17"/>
    <m/>
    <n v="74"/>
    <m/>
    <m/>
    <m/>
    <m/>
    <m/>
    <m/>
    <m/>
    <m/>
    <m/>
    <m/>
    <m/>
    <n v="0"/>
    <m/>
    <m/>
    <m/>
    <m/>
  </r>
  <r>
    <x v="51"/>
    <x v="17"/>
    <m/>
    <n v="64.5"/>
    <m/>
    <m/>
    <m/>
    <m/>
    <m/>
    <m/>
    <m/>
    <m/>
    <m/>
    <m/>
    <m/>
    <n v="0"/>
    <m/>
    <m/>
    <m/>
    <m/>
  </r>
  <r>
    <x v="67"/>
    <x v="17"/>
    <m/>
    <n v="107"/>
    <m/>
    <m/>
    <m/>
    <m/>
    <m/>
    <m/>
    <m/>
    <m/>
    <m/>
    <m/>
    <m/>
    <n v="0"/>
    <m/>
    <m/>
    <m/>
    <m/>
  </r>
  <r>
    <x v="68"/>
    <x v="17"/>
    <m/>
    <n v="101.5"/>
    <m/>
    <m/>
    <m/>
    <m/>
    <m/>
    <m/>
    <m/>
    <m/>
    <m/>
    <m/>
    <m/>
    <n v="0"/>
    <m/>
    <m/>
    <m/>
    <m/>
  </r>
  <r>
    <x v="52"/>
    <x v="17"/>
    <m/>
    <n v="134"/>
    <m/>
    <m/>
    <m/>
    <m/>
    <m/>
    <m/>
    <m/>
    <m/>
    <m/>
    <m/>
    <m/>
    <n v="0"/>
    <m/>
    <m/>
    <m/>
    <m/>
  </r>
  <r>
    <x v="25"/>
    <x v="17"/>
    <m/>
    <n v="93.5"/>
    <m/>
    <m/>
    <m/>
    <m/>
    <m/>
    <m/>
    <m/>
    <m/>
    <m/>
    <m/>
    <m/>
    <n v="0"/>
    <m/>
    <m/>
    <m/>
    <m/>
  </r>
  <r>
    <x v="53"/>
    <x v="17"/>
    <m/>
    <n v="118"/>
    <m/>
    <m/>
    <m/>
    <m/>
    <m/>
    <m/>
    <m/>
    <m/>
    <m/>
    <m/>
    <m/>
    <n v="0"/>
    <m/>
    <m/>
    <m/>
    <m/>
  </r>
  <r>
    <x v="69"/>
    <x v="17"/>
    <m/>
    <n v="95"/>
    <m/>
    <m/>
    <m/>
    <m/>
    <m/>
    <m/>
    <m/>
    <m/>
    <m/>
    <m/>
    <m/>
    <n v="0"/>
    <m/>
    <m/>
    <m/>
    <m/>
  </r>
  <r>
    <x v="63"/>
    <x v="17"/>
    <m/>
    <n v="120"/>
    <m/>
    <m/>
    <m/>
    <m/>
    <m/>
    <m/>
    <m/>
    <m/>
    <m/>
    <m/>
    <m/>
    <n v="0"/>
    <m/>
    <m/>
    <m/>
    <m/>
  </r>
  <r>
    <x v="13"/>
    <x v="18"/>
    <n v="720"/>
    <n v="40"/>
    <n v="82.65"/>
    <n v="720"/>
    <n v="82.65"/>
    <n v="0"/>
    <n v="802.65"/>
    <n v="161.02000000000001"/>
    <n v="963.67"/>
    <n v="100108"/>
    <n v="20.06625"/>
    <n v="40"/>
    <n v="0"/>
    <n v="0"/>
    <n v="0"/>
    <n v="409.55"/>
    <m/>
    <m/>
  </r>
  <r>
    <x v="14"/>
    <x v="18"/>
    <n v="1328"/>
    <n v="80"/>
    <n v="293.92"/>
    <n v="1760"/>
    <n v="325.92"/>
    <n v="400"/>
    <n v="2053.92"/>
    <n v="367.16"/>
    <n v="2421.08"/>
    <n v="100116"/>
    <n v="21.395"/>
    <n v="96"/>
    <n v="171.16"/>
    <n v="34.229999999999997"/>
    <n v="256.74"/>
    <m/>
    <m/>
    <m/>
  </r>
  <r>
    <x v="15"/>
    <x v="18"/>
    <n v="1153"/>
    <n v="51.5"/>
    <n v="337.3"/>
    <n v="1440"/>
    <n v="274.3"/>
    <n v="350"/>
    <n v="1777.3"/>
    <n v="339.33"/>
    <n v="2116.63"/>
    <n v="100122"/>
    <n v="21.28502994011976"/>
    <n v="83.5"/>
    <n v="122.38892215568862"/>
    <n v="24.48"/>
    <n v="183.58338323353291"/>
    <m/>
    <m/>
    <m/>
  </r>
  <r>
    <x v="16"/>
    <x v="18"/>
    <n v="1136"/>
    <n v="80"/>
    <n v="306.52999999999997"/>
    <n v="1440"/>
    <n v="180.53"/>
    <n v="430"/>
    <n v="1746.53"/>
    <n v="336.26"/>
    <n v="2082.79"/>
    <n v="100131"/>
    <e v="#DIV/0!"/>
    <m/>
    <e v="#DIV/0!"/>
    <e v="#VALUE!"/>
    <e v="#DIV/0!"/>
    <m/>
    <m/>
    <m/>
  </r>
  <r>
    <x v="17"/>
    <x v="18"/>
    <n v="1759"/>
    <n v="80"/>
    <n v="1349.49"/>
    <n v="1440"/>
    <n v="507.49"/>
    <n v="523"/>
    <n v="2789.49"/>
    <n v="441.16"/>
    <n v="3230.65"/>
    <n v="100140"/>
    <n v="25.13054054054054"/>
    <n v="111"/>
    <n v="389.52337837837837"/>
    <n v="74.010000000000005"/>
    <n v="584.28506756756758"/>
    <m/>
    <m/>
    <m/>
  </r>
  <r>
    <x v="18"/>
    <x v="18"/>
    <n v="1900"/>
    <n v="80"/>
    <n v="209.19"/>
    <n v="1900"/>
    <n v="209.19"/>
    <n v="0"/>
    <n v="2109.19"/>
    <n v="364.19"/>
    <n v="2473.38"/>
    <s v="DD"/>
    <n v="21.091899999999999"/>
    <n v="100"/>
    <n v="210.91899999999998"/>
    <n v="37.97"/>
    <n v="316.37849999999997"/>
    <m/>
    <m/>
    <m/>
  </r>
  <r>
    <x v="26"/>
    <x v="18"/>
    <n v="1320"/>
    <n v="80"/>
    <n v="607.28"/>
    <n v="1440"/>
    <n v="204.28"/>
    <n v="523"/>
    <n v="2047.28"/>
    <n v="354.21"/>
    <n v="2401.4899999999998"/>
    <n v="100159"/>
    <n v="22.747555555555554"/>
    <n v="90"/>
    <n v="113.73777777777777"/>
    <n v="20.47"/>
    <n v="170.60666666666665"/>
    <m/>
    <m/>
    <m/>
  </r>
  <r>
    <x v="20"/>
    <x v="18"/>
    <n v="1776"/>
    <n v="80"/>
    <n v="678.13"/>
    <n v="1440"/>
    <n v="342.13"/>
    <n v="0"/>
    <n v="2118.13"/>
    <n v="360.9"/>
    <n v="2479.0300000000002"/>
    <s v="DD"/>
    <n v="22.653796791443852"/>
    <n v="93.5"/>
    <n v="152.91312834224601"/>
    <n v="26"/>
    <n v="229.36969251336902"/>
    <m/>
    <m/>
    <m/>
  </r>
  <r>
    <x v="21"/>
    <x v="18"/>
    <n v="1379"/>
    <n v="80"/>
    <n v="619.49"/>
    <n v="1440"/>
    <n v="330.49"/>
    <n v="350"/>
    <n v="2059.4899999999998"/>
    <n v="355.38"/>
    <n v="2414.87"/>
    <s v="DD"/>
    <n v="22.631758241758238"/>
    <n v="91"/>
    <n v="124.4746703296703"/>
    <n v="21.16"/>
    <n v="186.71200549450546"/>
    <m/>
    <m/>
    <m/>
  </r>
  <r>
    <x v="22"/>
    <x v="18"/>
    <n v="1632"/>
    <n v="80"/>
    <n v="548.32000000000005"/>
    <n v="1440"/>
    <n v="316.32"/>
    <n v="40"/>
    <n v="1988.32"/>
    <n v="348.64"/>
    <n v="2336.96"/>
    <s v="DD"/>
    <n v="22.594545454545457"/>
    <n v="88"/>
    <n v="90.378181818181829"/>
    <n v="14.46"/>
    <n v="135.56727272727275"/>
    <m/>
    <m/>
    <m/>
  </r>
  <r>
    <x v="23"/>
    <x v="18"/>
    <n v="1222"/>
    <n v="80"/>
    <n v="548.29"/>
    <n v="1440"/>
    <n v="316.29000000000002"/>
    <n v="450"/>
    <n v="1988.29"/>
    <n v="345.25"/>
    <n v="2333.54"/>
    <s v="DD"/>
    <n v="22.594204545454545"/>
    <n v="88"/>
    <n v="90.37681818181818"/>
    <n v="14.46"/>
    <n v="135.56522727272727"/>
    <m/>
    <m/>
    <m/>
  </r>
  <r>
    <x v="24"/>
    <x v="18"/>
    <n v="1840"/>
    <n v="80"/>
    <n v="758.04"/>
    <n v="1440"/>
    <n v="358.04"/>
    <n v="0"/>
    <n v="2198.04"/>
    <n v="364.74"/>
    <n v="2562.7800000000002"/>
    <s v="DD"/>
    <n v="23.891739130434782"/>
    <n v="92"/>
    <n v="143.35043478260869"/>
    <n v="22.94"/>
    <n v="215.02565217391304"/>
    <m/>
    <m/>
    <m/>
  </r>
  <r>
    <x v="27"/>
    <x v="18"/>
    <n v="1698"/>
    <n v="80"/>
    <n v="1175.46"/>
    <n v="1440"/>
    <n v="455.46"/>
    <n v="462"/>
    <n v="2615.46"/>
    <n v="403.51"/>
    <n v="3018.97"/>
    <s v="DD"/>
    <n v="24.217222222222222"/>
    <n v="108"/>
    <n v="339.04111111111109"/>
    <n v="50.86"/>
    <n v="508.56166666666661"/>
    <m/>
    <m/>
    <m/>
  </r>
  <r>
    <x v="28"/>
    <x v="18"/>
    <n v="1790"/>
    <n v="80"/>
    <n v="695.61"/>
    <n v="1440"/>
    <n v="345.61"/>
    <n v="0"/>
    <n v="2135.61"/>
    <n v="358.94"/>
    <n v="2494.5500000000002"/>
    <s v="DD"/>
    <n v="23.861564245810058"/>
    <n v="89.5"/>
    <n v="113.34243016759777"/>
    <n v="17"/>
    <n v="170.01364525139667"/>
    <m/>
    <m/>
    <m/>
  </r>
  <r>
    <x v="29"/>
    <x v="18"/>
    <n v="1790"/>
    <n v="80"/>
    <n v="1116.94"/>
    <n v="1440"/>
    <n v="326.94"/>
    <n v="440"/>
    <n v="2556.94"/>
    <n v="398.08"/>
    <n v="2955.02"/>
    <s v="DD"/>
    <n v="22.932197309417042"/>
    <n v="111.5"/>
    <n v="361.18210762331842"/>
    <n v="50.57"/>
    <n v="541.77316143497762"/>
    <m/>
    <m/>
    <m/>
  </r>
  <r>
    <x v="30"/>
    <x v="18"/>
    <n v="1740"/>
    <n v="80"/>
    <n v="495.45"/>
    <n v="1440"/>
    <n v="195.45"/>
    <n v="0"/>
    <n v="1935.45"/>
    <n v="340.34"/>
    <n v="2275.79"/>
    <s v="DD"/>
    <n v="22.24655172413793"/>
    <n v="87"/>
    <n v="77.862931034482756"/>
    <n v="10.9"/>
    <n v="116.79439655172413"/>
    <m/>
    <m/>
    <m/>
  </r>
  <r>
    <x v="31"/>
    <x v="18"/>
    <n v="1620"/>
    <n v="49"/>
    <n v="192.35"/>
    <n v="1620"/>
    <n v="192.35"/>
    <n v="0"/>
    <n v="1812.35"/>
    <n v="328.91"/>
    <n v="2141.2600000000002"/>
    <s v="DD"/>
    <n v="22.374691358024691"/>
    <n v="81"/>
    <n v="100.6861111111111"/>
    <n v="13.09"/>
    <n v="151.02916666666664"/>
    <m/>
    <m/>
    <m/>
  </r>
  <r>
    <x v="32"/>
    <x v="18"/>
    <n v="1460"/>
    <n v="80"/>
    <n v="253.37"/>
    <n v="1900"/>
    <n v="253.39"/>
    <n v="439.98"/>
    <n v="2153.37"/>
    <n v="360.59"/>
    <n v="2513.96"/>
    <s v="DD"/>
    <n v="22.667052631578947"/>
    <n v="95"/>
    <n v="170.00289473684211"/>
    <n v="22.1"/>
    <n v="255.00434210526316"/>
    <m/>
    <m/>
    <m/>
  </r>
  <r>
    <x v="33"/>
    <x v="18"/>
    <n v="2020"/>
    <n v="80"/>
    <n v="279.57"/>
    <n v="2020"/>
    <n v="279.57"/>
    <n v="0"/>
    <n v="2299.5700000000002"/>
    <n v="374.17"/>
    <n v="2673.74"/>
    <s v="DD"/>
    <n v="22.768019801980198"/>
    <n v="101"/>
    <n v="239.06420792079209"/>
    <n v="28.69"/>
    <n v="358.59631188118811"/>
    <m/>
    <m/>
    <m/>
  </r>
  <r>
    <x v="34"/>
    <x v="18"/>
    <n v="1510"/>
    <n v="80"/>
    <n v="264.29000000000002"/>
    <n v="1950"/>
    <n v="264.29000000000002"/>
    <n v="440"/>
    <n v="2214.29"/>
    <n v="366.24"/>
    <n v="2580.5300000000002"/>
    <s v="DD"/>
    <n v="22.710666666666665"/>
    <n v="97.5"/>
    <n v="198.71833333333331"/>
    <n v="23.85"/>
    <n v="298.07749999999999"/>
    <m/>
    <m/>
    <m/>
  </r>
  <r>
    <x v="35"/>
    <x v="18"/>
    <n v="1690"/>
    <n v="80"/>
    <n v="207.61"/>
    <n v="1690"/>
    <n v="207.61"/>
    <n v="0"/>
    <n v="1897.61"/>
    <n v="336.83"/>
    <n v="2234.44"/>
    <s v="DD"/>
    <n v="20.080529100529102"/>
    <n v="94.5"/>
    <n v="145.58383597883599"/>
    <n v="16.010000000000002"/>
    <n v="218.375753968254"/>
    <m/>
    <m/>
    <m/>
  </r>
  <r>
    <x v="37"/>
    <x v="18"/>
    <n v="1849"/>
    <n v="80"/>
    <n v="341.59"/>
    <n v="2289"/>
    <n v="341.59"/>
    <n v="440"/>
    <n v="2630.59"/>
    <n v="404.92"/>
    <n v="3035.51"/>
    <s v="DD"/>
    <n v="24.133853211009175"/>
    <n v="109"/>
    <n v="349.94087155963302"/>
    <n v="38.49"/>
    <n v="524.91130733944954"/>
    <m/>
    <m/>
    <m/>
  </r>
  <r>
    <x v="38"/>
    <x v="18"/>
    <n v="2383"/>
    <n v="80"/>
    <n v="364.96"/>
    <n v="2383"/>
    <n v="364.96"/>
    <n v="0"/>
    <n v="2747.96"/>
    <n v="415.84"/>
    <n v="3163.8"/>
    <s v="DD"/>
    <n v="24.211101321585904"/>
    <n v="113.5"/>
    <n v="405.53594713656389"/>
    <n v="40.549999999999997"/>
    <n v="608.30392070484584"/>
    <m/>
    <m/>
    <m/>
  </r>
  <r>
    <x v="39"/>
    <x v="18"/>
    <n v="2016"/>
    <n v="80"/>
    <n v="278.69"/>
    <n v="2016"/>
    <n v="278.69"/>
    <n v="0"/>
    <n v="2294.69"/>
    <n v="373.71"/>
    <n v="2668.4"/>
    <s v="DD"/>
    <n v="23.903020833333333"/>
    <n v="96"/>
    <n v="191.22416666666666"/>
    <n v="19.12"/>
    <n v="286.83625000000001"/>
    <m/>
    <m/>
    <m/>
  </r>
  <r>
    <x v="40"/>
    <x v="18"/>
    <n v="2373"/>
    <n v="80"/>
    <n v="362.47"/>
    <n v="2373"/>
    <n v="362.47"/>
    <n v="0"/>
    <n v="2735.47"/>
    <n v="397.42"/>
    <n v="3132.89"/>
    <s v="DD"/>
    <n v="24.20769911504425"/>
    <n v="113"/>
    <n v="399.42703539823015"/>
    <n v="35.950000000000003"/>
    <n v="599.14055309734522"/>
    <m/>
    <m/>
    <m/>
  </r>
  <r>
    <x v="41"/>
    <x v="18"/>
    <n v="1592"/>
    <n v="50.5"/>
    <n v="282.17"/>
    <n v="2032"/>
    <n v="282.17"/>
    <n v="440"/>
    <n v="2314.17"/>
    <n v="337.57"/>
    <n v="2651.74"/>
    <s v="DD"/>
    <n v="26.75341040462428"/>
    <n v="86.5"/>
    <n v="280.91080924855493"/>
    <n v="25.28"/>
    <n v="421.36621387283242"/>
    <m/>
    <m/>
    <m/>
  </r>
  <r>
    <x v="42"/>
    <x v="18"/>
    <n v="2604"/>
    <n v="49.5"/>
    <n v="419.87"/>
    <n v="2604"/>
    <n v="419.87"/>
    <n v="0"/>
    <n v="3023.87"/>
    <n v="391.87"/>
    <n v="3415.74"/>
    <s v="DD"/>
    <n v="39.271038961038961"/>
    <n v="77"/>
    <n v="186.53743506493507"/>
    <n v="16.79"/>
    <n v="279.80615259740262"/>
    <m/>
    <m/>
    <m/>
  </r>
  <r>
    <x v="43"/>
    <x v="18"/>
    <n v="2167"/>
    <n v="80"/>
    <n v="311.62"/>
    <n v="2167"/>
    <n v="311.62"/>
    <n v="0"/>
    <n v="2478.62"/>
    <n v="350.15"/>
    <n v="2828.77"/>
    <s v="DD"/>
    <n v="24.91075376884422"/>
    <n v="99.5"/>
    <n v="242.87984924623115"/>
    <n v="19.43"/>
    <n v="364.3197738693467"/>
    <m/>
    <m/>
    <m/>
  </r>
  <r>
    <x v="44"/>
    <x v="18"/>
    <n v="2387"/>
    <n v="49.5"/>
    <n v="360.43"/>
    <n v="2387"/>
    <n v="360.43"/>
    <n v="0"/>
    <n v="2747.43"/>
    <n v="432.26"/>
    <n v="3179.69"/>
    <s v="DD"/>
    <n v="31.044406779661013"/>
    <n v="88.5"/>
    <n v="147.4609322033898"/>
    <n v="11.8"/>
    <n v="221.1913983050847"/>
    <m/>
    <m/>
    <m/>
  </r>
  <r>
    <x v="45"/>
    <x v="18"/>
    <n v="2121"/>
    <n v="51.5"/>
    <m/>
    <n v="2121"/>
    <n v="244.13"/>
    <n v="0"/>
    <n v="2365.13"/>
    <n v="370.3"/>
    <n v="2735.43"/>
    <s v="DD"/>
    <n v="23.436464088397791"/>
    <n v="90.5"/>
    <n v="134.75966850828729"/>
    <n v="9.43"/>
    <n v="202.13950276243094"/>
    <m/>
    <m/>
    <m/>
  </r>
  <r>
    <x v="46"/>
    <x v="18"/>
    <n v="3101"/>
    <n v="80"/>
    <m/>
    <n v="3101"/>
    <n v="430.81"/>
    <n v="0"/>
    <n v="3531.81"/>
    <n v="461.41"/>
    <n v="3993.22"/>
    <s v="DD"/>
    <n v="30.551724137931036"/>
    <n v="101.5"/>
    <n v="328.43103448275861"/>
    <n v="22.99"/>
    <n v="492.64655172413791"/>
    <m/>
    <m/>
    <m/>
  </r>
  <r>
    <x v="47"/>
    <x v="18"/>
    <n v="2154"/>
    <n v="80"/>
    <m/>
    <n v="2189"/>
    <n v="247.49"/>
    <n v="35"/>
    <n v="2436.4899999999998"/>
    <n v="315.79000000000002"/>
    <n v="2752.28"/>
    <s v="DD"/>
    <n v="22"/>
    <n v="99.5"/>
    <n v="214.5"/>
    <n v="12.87"/>
    <n v="321.75"/>
    <m/>
    <m/>
    <m/>
  </r>
  <r>
    <x v="48"/>
    <x v="18"/>
    <n v="2376"/>
    <n v="80"/>
    <m/>
    <n v="2376"/>
    <n v="280.95999999999998"/>
    <n v="0"/>
    <n v="2656.96"/>
    <n v="333.15"/>
    <n v="2990.11"/>
    <s v="DD"/>
    <n v="22"/>
    <n v="108"/>
    <n v="308"/>
    <n v="18.48"/>
    <n v="462"/>
    <m/>
    <m/>
    <m/>
  </r>
  <r>
    <x v="49"/>
    <x v="18"/>
    <n v="2233"/>
    <n v="80"/>
    <m/>
    <n v="2233"/>
    <n v="255.37"/>
    <n v="0"/>
    <n v="2488.37"/>
    <n v="319.87"/>
    <n v="2808.24"/>
    <s v="DD"/>
    <n v="22"/>
    <n v="101.5"/>
    <n v="236.5"/>
    <n v="11.83"/>
    <n v="354.75"/>
    <m/>
    <m/>
    <m/>
  </r>
  <r>
    <x v="50"/>
    <x v="18"/>
    <n v="1968.54"/>
    <n v="86"/>
    <m/>
    <n v="2225"/>
    <n v="256.45999999999998"/>
    <n v="0"/>
    <n v="2225"/>
    <n v="327.56"/>
    <n v="2552.56"/>
    <s v="DD"/>
    <n v="25.872093023255815"/>
    <n v="86"/>
    <n v="77.616279069767444"/>
    <n v="3.88"/>
    <n v="116.42441860465117"/>
    <m/>
    <m/>
    <m/>
  </r>
  <r>
    <x v="13"/>
    <x v="19"/>
    <n v="720"/>
    <n v="40"/>
    <n v="87.41"/>
    <n v="720"/>
    <n v="87.41"/>
    <n v="0"/>
    <n v="807.41"/>
    <n v="161.49"/>
    <n v="968.9"/>
    <n v="100106"/>
    <n v="20.18525"/>
    <n v="40"/>
    <n v="0"/>
    <n v="0"/>
    <n v="0"/>
    <n v="409.55"/>
    <m/>
    <m/>
  </r>
  <r>
    <x v="14"/>
    <x v="19"/>
    <n v="1310"/>
    <n v="80"/>
    <n v="288.82"/>
    <n v="1760"/>
    <n v="338.82"/>
    <n v="400"/>
    <n v="2048.8200000000002"/>
    <n v="366.67"/>
    <n v="2415.4899999999998"/>
    <n v="100114"/>
    <n v="21.566526315789474"/>
    <n v="95"/>
    <n v="161.74894736842106"/>
    <n v="32.35"/>
    <n v="242.62342105263158"/>
    <m/>
    <m/>
    <m/>
  </r>
  <r>
    <x v="15"/>
    <x v="19"/>
    <n v="1054"/>
    <n v="51"/>
    <n v="343.27"/>
    <n v="1440"/>
    <n v="289.27"/>
    <n v="440"/>
    <n v="1783.27"/>
    <n v="339.94"/>
    <n v="2123.21"/>
    <n v="100120"/>
    <n v="21.485180722891567"/>
    <n v="83"/>
    <n v="118.16849397590362"/>
    <n v="23.63"/>
    <n v="177.25274096385542"/>
    <m/>
    <m/>
    <m/>
  </r>
  <r>
    <x v="16"/>
    <x v="19"/>
    <n v="1136"/>
    <n v="80"/>
    <n v="306.52"/>
    <n v="1440"/>
    <n v="180.52"/>
    <n v="430"/>
    <n v="1746.52"/>
    <n v="336.24"/>
    <n v="2082.7600000000002"/>
    <n v="100129"/>
    <e v="#DIV/0!"/>
    <m/>
    <e v="#DIV/0!"/>
    <e v="#VALUE!"/>
    <e v="#DIV/0!"/>
    <m/>
    <m/>
    <m/>
  </r>
  <r>
    <x v="17"/>
    <x v="19"/>
    <n v="1298"/>
    <n v="80"/>
    <n v="260.86"/>
    <n v="1440"/>
    <n v="272.86"/>
    <n v="130"/>
    <n v="1700.86"/>
    <n v="331.64"/>
    <n v="2032.5"/>
    <n v="100138"/>
    <n v="16.513203883495148"/>
    <n v="103"/>
    <n v="189.9018446601942"/>
    <n v="36.08"/>
    <n v="284.85276699029129"/>
    <m/>
    <m/>
    <m/>
  </r>
  <r>
    <x v="18"/>
    <x v="19"/>
    <n v="1640"/>
    <n v="80"/>
    <n v="216.91"/>
    <n v="1990"/>
    <n v="216.91"/>
    <n v="350"/>
    <n v="2206.91"/>
    <n v="379.93"/>
    <n v="2586.84"/>
    <s v="DD"/>
    <n v="22.18"/>
    <n v="99.5"/>
    <n v="216.255"/>
    <n v="38.93"/>
    <n v="324.38249999999999"/>
    <m/>
    <m/>
    <m/>
  </r>
  <r>
    <x v="19"/>
    <x v="19"/>
    <n v="1280"/>
    <n v="49"/>
    <m/>
    <n v="1280"/>
    <n v="184.51"/>
    <n v="0"/>
    <n v="1464.51"/>
    <n v="138.55000000000001"/>
    <n v="1603.06"/>
    <s v="DD"/>
    <n v="19.393939393939394"/>
    <n v="66"/>
    <n v="87.27272727272728"/>
    <n v="15.71"/>
    <n v="130.90909090909093"/>
    <m/>
    <m/>
    <m/>
  </r>
  <r>
    <x v="20"/>
    <x v="19"/>
    <n v="1870"/>
    <n v="80"/>
    <n v="812.7"/>
    <n v="1440"/>
    <n v="382.7"/>
    <n v="0"/>
    <n v="2252.6999999999998"/>
    <n v="373.64"/>
    <n v="2626.34"/>
    <s v="DD"/>
    <n v="24.093048128342243"/>
    <n v="93.5"/>
    <n v="162.62807486631013"/>
    <n v="27.65"/>
    <n v="243.94211229946518"/>
    <m/>
    <m/>
    <m/>
  </r>
  <r>
    <x v="21"/>
    <x v="19"/>
    <n v="1554"/>
    <n v="46"/>
    <n v="522.21"/>
    <n v="1332"/>
    <n v="300.20999999999998"/>
    <n v="0"/>
    <n v="1854.21"/>
    <n v="323.91000000000003"/>
    <n v="2178.12"/>
    <s v="DD"/>
    <n v="25.056891891891894"/>
    <n v="74"/>
    <n v="75.170675675675682"/>
    <n v="12.78"/>
    <n v="112.75601351351352"/>
    <m/>
    <m/>
    <m/>
  </r>
  <r>
    <x v="22"/>
    <x v="19"/>
    <n v="1808"/>
    <n v="80"/>
    <n v="785.23"/>
    <n v="1440"/>
    <n v="377.23"/>
    <n v="40"/>
    <n v="2225.23"/>
    <n v="371.05"/>
    <n v="2596.2800000000002"/>
    <s v="DD"/>
    <n v="25.286704545454544"/>
    <n v="88"/>
    <n v="101.14681818181818"/>
    <n v="16.18"/>
    <n v="151.72022727272727"/>
    <m/>
    <m/>
    <m/>
  </r>
  <r>
    <x v="23"/>
    <x v="19"/>
    <n v="1838"/>
    <n v="80"/>
    <n v="785.21"/>
    <n v="1440"/>
    <n v="377.21"/>
    <n v="10"/>
    <n v="2225.21"/>
    <n v="367.26"/>
    <n v="2592.4699999999998"/>
    <s v="DD"/>
    <n v="25.286477272727272"/>
    <n v="88"/>
    <n v="101.14590909090909"/>
    <n v="16.18"/>
    <n v="151.71886363636364"/>
    <m/>
    <m/>
    <m/>
  </r>
  <r>
    <x v="24"/>
    <x v="19"/>
    <n v="1932"/>
    <n v="80"/>
    <n v="890.11"/>
    <n v="1440"/>
    <n v="398.11"/>
    <n v="0"/>
    <n v="2330.11"/>
    <n v="377.01"/>
    <n v="2707.12"/>
    <s v="DD"/>
    <n v="25.327282608695654"/>
    <n v="92"/>
    <n v="151.96369565217393"/>
    <n v="24.31"/>
    <n v="227.9455434782609"/>
    <m/>
    <m/>
    <m/>
  </r>
  <r>
    <x v="27"/>
    <x v="19"/>
    <n v="2151"/>
    <n v="80"/>
    <n v="1190.98"/>
    <n v="1440"/>
    <n v="457.98"/>
    <n v="22"/>
    <n v="2630.98"/>
    <n v="404.97"/>
    <n v="3035.95"/>
    <s v="DD"/>
    <n v="25.420096618357487"/>
    <n v="103.5"/>
    <n v="298.6861352657005"/>
    <n v="44.8"/>
    <n v="448.02920289855075"/>
    <m/>
    <m/>
    <m/>
  </r>
  <r>
    <x v="28"/>
    <x v="19"/>
    <n v="1879"/>
    <n v="80"/>
    <n v="823.92"/>
    <n v="1440"/>
    <n v="384.92"/>
    <n v="0"/>
    <n v="2263.92"/>
    <n v="370.84"/>
    <n v="2634.76"/>
    <s v="DD"/>
    <n v="25.295195530726257"/>
    <n v="89.5"/>
    <n v="120.15217877094972"/>
    <n v="18.02"/>
    <n v="180.22826815642458"/>
    <m/>
    <m/>
    <m/>
  </r>
  <r>
    <x v="29"/>
    <x v="19"/>
    <n v="2320"/>
    <n v="80"/>
    <n v="1229.31"/>
    <n v="1440"/>
    <n v="349.31"/>
    <n v="0"/>
    <n v="2669.31"/>
    <n v="408.53"/>
    <n v="3077.84"/>
    <s v="DD"/>
    <n v="24.156651583710406"/>
    <n v="110.5"/>
    <n v="368.38893665158372"/>
    <n v="51.57"/>
    <n v="552.58340497737561"/>
    <m/>
    <m/>
    <m/>
  </r>
  <r>
    <x v="30"/>
    <x v="19"/>
    <n v="1785"/>
    <n v="80"/>
    <n v="224.31"/>
    <n v="1760"/>
    <n v="199.31"/>
    <n v="0"/>
    <n v="1984.31"/>
    <n v="344.89"/>
    <n v="2329.1999999999998"/>
    <s v="DD"/>
    <n v="23.344823529411762"/>
    <n v="85"/>
    <n v="58.362058823529409"/>
    <n v="8.17"/>
    <n v="87.543088235294107"/>
    <m/>
    <m/>
    <m/>
  </r>
  <r>
    <x v="31"/>
    <x v="19"/>
    <n v="1701"/>
    <n v="49"/>
    <n v="209.99"/>
    <n v="1701"/>
    <n v="209.99"/>
    <n v="0"/>
    <n v="1910.99"/>
    <n v="338.06"/>
    <n v="2249.0500000000002"/>
    <s v="DD"/>
    <n v="23.592469135802471"/>
    <n v="81"/>
    <n v="106.16611111111112"/>
    <n v="13.8"/>
    <n v="159.24916666666667"/>
    <m/>
    <m/>
    <m/>
  </r>
  <r>
    <x v="32"/>
    <x v="19"/>
    <n v="2131"/>
    <n v="80"/>
    <n v="303.69"/>
    <n v="2131"/>
    <n v="303.75"/>
    <n v="-0.06"/>
    <n v="2434.69"/>
    <n v="386.73"/>
    <n v="2821.42"/>
    <s v="DD"/>
    <n v="23.987093596059115"/>
    <n v="101.5"/>
    <n v="257.86125615763547"/>
    <n v="33.520000000000003"/>
    <n v="386.7918842364532"/>
    <m/>
    <m/>
    <m/>
  </r>
  <r>
    <x v="33"/>
    <x v="19"/>
    <n v="2247"/>
    <n v="51.5"/>
    <n v="331.17"/>
    <n v="2247"/>
    <n v="331.17"/>
    <n v="0"/>
    <n v="2578.17"/>
    <n v="400.06"/>
    <n v="2978.23"/>
    <s v="DD"/>
    <n v="50.061553398058251"/>
    <n v="51.5"/>
    <n v="287.85393203883496"/>
    <n v="34.54"/>
    <n v="431.78089805825243"/>
    <m/>
    <m/>
    <m/>
  </r>
  <r>
    <x v="34"/>
    <x v="19"/>
    <n v="2194.0100000000002"/>
    <n v="80"/>
    <n v="318"/>
    <n v="2194"/>
    <n v="317.99"/>
    <n v="0"/>
    <n v="2512"/>
    <n v="393.9"/>
    <n v="2905.9"/>
    <s v="DD"/>
    <n v="25.502538071065988"/>
    <n v="98.5"/>
    <n v="235.89847715736039"/>
    <n v="28.31"/>
    <n v="353.84771573604058"/>
    <m/>
    <m/>
    <m/>
  </r>
  <r>
    <x v="35"/>
    <x v="19"/>
    <n v="1850"/>
    <n v="50"/>
    <n v="242.49"/>
    <n v="1850"/>
    <n v="242.49"/>
    <n v="0"/>
    <n v="2092.4899999999998"/>
    <n v="354.93"/>
    <n v="2447.42"/>
    <s v="DD"/>
    <n v="41.849799999999995"/>
    <n v="50"/>
    <n v="209.24899999999997"/>
    <n v="23.02"/>
    <n v="313.87349999999992"/>
    <m/>
    <m/>
    <m/>
  </r>
  <r>
    <x v="11"/>
    <x v="20"/>
    <m/>
    <n v="32"/>
    <m/>
    <m/>
    <m/>
    <m/>
    <m/>
    <m/>
    <m/>
    <m/>
    <m/>
    <m/>
    <m/>
    <n v="0"/>
    <m/>
    <m/>
    <m/>
    <m/>
  </r>
  <r>
    <x v="12"/>
    <x v="20"/>
    <n v="1161"/>
    <n v="80"/>
    <n v="103.19"/>
    <n v="1200"/>
    <n v="142.19"/>
    <n v="0"/>
    <n v="1303.19"/>
    <n v="291.64999999999998"/>
    <n v="1594.84"/>
    <s v="DD"/>
    <n v="13.574895833333334"/>
    <n v="96"/>
    <n v="108.59916666666668"/>
    <n v="22.81"/>
    <n v="162.89875000000001"/>
    <n v="409.55"/>
    <m/>
    <m/>
  </r>
  <r>
    <x v="13"/>
    <x v="20"/>
    <n v="802"/>
    <n v="45"/>
    <n v="109.45"/>
    <n v="1380"/>
    <n v="247.45"/>
    <n v="440"/>
    <n v="1489.45"/>
    <n v="288.29000000000002"/>
    <n v="1777.74"/>
    <s v="DD"/>
    <n v="21.586231884057973"/>
    <n v="69"/>
    <n v="53.965579710144937"/>
    <n v="11.33"/>
    <n v="80.948369565217405"/>
    <m/>
    <m/>
    <m/>
  </r>
  <r>
    <x v="14"/>
    <x v="20"/>
    <n v="1085"/>
    <n v="80"/>
    <n v="400.24"/>
    <n v="1440"/>
    <n v="322.24"/>
    <n v="433"/>
    <n v="1840.24"/>
    <n v="345.68"/>
    <n v="2185.92"/>
    <s v="DD"/>
    <n v="21.398139534883722"/>
    <n v="86"/>
    <n v="64.194418604651162"/>
    <n v="12.84"/>
    <n v="96.291627906976743"/>
    <m/>
    <m/>
    <m/>
  </r>
  <r>
    <x v="15"/>
    <x v="20"/>
    <n v="1054"/>
    <n v="51"/>
    <n v="374.48"/>
    <n v="1440"/>
    <n v="320.48"/>
    <n v="440"/>
    <n v="1814.48"/>
    <n v="343.08"/>
    <n v="2157.56"/>
    <s v="DD"/>
    <n v="21.861204819277109"/>
    <n v="83"/>
    <n v="120.23662650602409"/>
    <n v="24.05"/>
    <n v="180.35493975903614"/>
    <m/>
    <m/>
    <m/>
  </r>
  <r>
    <x v="16"/>
    <x v="20"/>
    <n v="136.26"/>
    <n v="0"/>
    <m/>
    <n v="136.26"/>
    <n v="11.68"/>
    <n v="0"/>
    <n v="147.94"/>
    <n v="14.88"/>
    <n v="162.82"/>
    <s v="DD"/>
    <e v="#DIV/0!"/>
    <m/>
    <e v="#DIV/0!"/>
    <e v="#VALUE!"/>
    <e v="#DIV/0!"/>
    <m/>
    <m/>
    <m/>
  </r>
  <r>
    <x v="16"/>
    <x v="20"/>
    <n v="1399.74"/>
    <n v="80"/>
    <n v="126"/>
    <n v="1440"/>
    <n v="166.26"/>
    <n v="0"/>
    <n v="1566"/>
    <n v="318.07"/>
    <n v="1884.07"/>
    <s v="DD"/>
    <e v="#DIV/0!"/>
    <m/>
    <e v="#DIV/0!"/>
    <e v="#VALUE!"/>
    <e v="#DIV/0!"/>
    <m/>
    <m/>
    <m/>
  </r>
  <r>
    <x v="17"/>
    <x v="20"/>
    <n v="2152"/>
    <n v="80"/>
    <n v="1265.45"/>
    <n v="1440"/>
    <n v="553.45000000000005"/>
    <n v="0"/>
    <n v="2705.45"/>
    <n v="432.71"/>
    <n v="3138.16"/>
    <s v="DD"/>
    <n v="22.639748953974895"/>
    <n v="119.5"/>
    <n v="447.13504184100418"/>
    <n v="84.96"/>
    <n v="670.70256276150621"/>
    <m/>
    <m/>
    <m/>
  </r>
  <r>
    <x v="16"/>
    <x v="20"/>
    <n v="1743"/>
    <n v="80"/>
    <n v="195.71"/>
    <n v="1743"/>
    <n v="195.71"/>
    <n v="0"/>
    <n v="1938.71"/>
    <n v="348.54"/>
    <n v="2287.25"/>
    <s v="DD"/>
    <e v="#DIV/0!"/>
    <m/>
    <e v="#DIV/0!"/>
    <e v="#VALUE!"/>
    <e v="#DIV/0!"/>
    <m/>
    <m/>
    <m/>
  </r>
  <r>
    <x v="16"/>
    <x v="20"/>
    <n v="1596"/>
    <n v="80"/>
    <n v="339.1"/>
    <n v="1440"/>
    <n v="183.1"/>
    <n v="0"/>
    <n v="1779.1"/>
    <n v="328.85"/>
    <n v="2107.9499999999998"/>
    <n v="100164"/>
    <e v="#DIV/0!"/>
    <m/>
    <e v="#DIV/0!"/>
    <e v="#VALUE!"/>
    <e v="#DIV/0!"/>
    <m/>
    <m/>
    <m/>
  </r>
  <r>
    <x v="16"/>
    <x v="20"/>
    <n v="2121"/>
    <n v="80"/>
    <n v="1221.24"/>
    <n v="1440"/>
    <n v="540.24"/>
    <n v="0"/>
    <n v="2661.24"/>
    <n v="412.29"/>
    <n v="3073.53"/>
    <s v="DD"/>
    <e v="#DIV/0!"/>
    <m/>
    <e v="#DIV/0!"/>
    <e v="#VALUE!"/>
    <e v="#DIV/0!"/>
    <m/>
    <m/>
    <m/>
  </r>
  <r>
    <x v="21"/>
    <x v="20"/>
    <n v="1344"/>
    <n v="14"/>
    <n v="464.59"/>
    <n v="1152"/>
    <n v="272.58999999999997"/>
    <n v="0"/>
    <n v="1616.59"/>
    <n v="281.36"/>
    <n v="1897.95"/>
    <s v="DD"/>
    <n v="115.47071428571428"/>
    <n v="14"/>
    <n v="0"/>
    <n v="0"/>
    <n v="0"/>
    <m/>
    <m/>
    <m/>
  </r>
  <r>
    <x v="23"/>
    <x v="20"/>
    <n v="735"/>
    <n v="35"/>
    <n v="211.09"/>
    <n v="630"/>
    <n v="106.09"/>
    <n v="0"/>
    <n v="841.09"/>
    <n v="148.37"/>
    <n v="989.46"/>
    <s v="DD"/>
    <n v="24.031142857142857"/>
    <n v="35"/>
    <n v="0"/>
    <n v="0"/>
    <n v="0"/>
    <m/>
    <m/>
    <m/>
  </r>
  <r>
    <x v="24"/>
    <x v="20"/>
    <n v="2488"/>
    <n v="68.5"/>
    <n v="2520.6799999999998"/>
    <n v="630"/>
    <n v="662.68"/>
    <n v="0"/>
    <n v="3150.68"/>
    <n v="362.93"/>
    <n v="3513.61"/>
    <s v="DD"/>
    <n v="45.995328467153286"/>
    <n v="68.5"/>
    <n v="425.45678832116789"/>
    <n v="68.069999999999993"/>
    <n v="638.18518248175178"/>
    <m/>
    <m/>
    <m/>
  </r>
  <r>
    <x v="16"/>
    <x v="20"/>
    <n v="2291"/>
    <n v="80"/>
    <n v="1535.07"/>
    <n v="1440"/>
    <n v="634.07000000000005"/>
    <n v="50"/>
    <n v="2975.07"/>
    <n v="436.92"/>
    <n v="3411.99"/>
    <s v="DD"/>
    <e v="#DIV/0!"/>
    <m/>
    <e v="#DIV/0!"/>
    <e v="#VALUE!"/>
    <e v="#DIV/0!"/>
    <m/>
    <m/>
    <m/>
  </r>
  <r>
    <x v="16"/>
    <x v="20"/>
    <n v="1933"/>
    <n v="80"/>
    <n v="995.81"/>
    <n v="1440"/>
    <n v="472.81"/>
    <n v="30"/>
    <n v="2435.81"/>
    <n v="386.83"/>
    <n v="2822.64"/>
    <s v="DD"/>
    <e v="#DIV/0!"/>
    <m/>
    <e v="#DIV/0!"/>
    <e v="#VALUE!"/>
    <e v="#DIV/0!"/>
    <m/>
    <m/>
    <m/>
  </r>
  <r>
    <x v="29"/>
    <x v="20"/>
    <n v="2206"/>
    <n v="50"/>
    <n v="1111.94"/>
    <n v="1440"/>
    <n v="325.94"/>
    <n v="20"/>
    <n v="2551.94"/>
    <n v="397.61"/>
    <n v="2949.55"/>
    <s v="DD"/>
    <n v="43.99896551724138"/>
    <n v="58"/>
    <n v="219.9948275862069"/>
    <n v="30.8"/>
    <n v="329.99224137931037"/>
    <m/>
    <m/>
    <m/>
  </r>
  <r>
    <x v="30"/>
    <x v="20"/>
    <n v="1765"/>
    <n v="80"/>
    <n v="425.5"/>
    <n v="1600"/>
    <n v="230.5"/>
    <n v="30"/>
    <n v="2025.5"/>
    <n v="348.72"/>
    <n v="2374.2199999999998"/>
    <s v="DD"/>
    <n v="23.690058479532162"/>
    <n v="85.5"/>
    <n v="65.147660818713447"/>
    <n v="9.1199999999999992"/>
    <n v="97.721491228070164"/>
    <m/>
    <m/>
    <m/>
  </r>
  <r>
    <x v="31"/>
    <x v="20"/>
    <n v="1279"/>
    <n v="64"/>
    <n v="161.46"/>
    <n v="1344"/>
    <n v="161.46"/>
    <n v="65"/>
    <n v="1505.46"/>
    <n v="300.39"/>
    <n v="1805.85"/>
    <s v="DD"/>
    <n v="23.522812500000001"/>
    <n v="64"/>
    <n v="0"/>
    <n v="0"/>
    <n v="0"/>
    <m/>
    <m/>
    <m/>
  </r>
  <r>
    <x v="32"/>
    <x v="20"/>
    <n v="2123"/>
    <n v="80"/>
    <n v="312.87"/>
    <n v="2173"/>
    <n v="312.92"/>
    <n v="49.95"/>
    <n v="2485.87"/>
    <n v="391.48"/>
    <n v="2877.35"/>
    <s v="DD"/>
    <n v="24.01806763285024"/>
    <n v="103.5"/>
    <n v="282.21229468599034"/>
    <n v="36.69"/>
    <n v="423.31844202898549"/>
    <m/>
    <m/>
    <m/>
  </r>
  <r>
    <x v="33"/>
    <x v="20"/>
    <n v="2102"/>
    <n v="80"/>
    <n v="308.35000000000002"/>
    <n v="2152"/>
    <n v="308.35000000000002"/>
    <n v="50"/>
    <n v="2460.35"/>
    <n v="389.11"/>
    <n v="2849.46"/>
    <s v="DD"/>
    <n v="24.003414634146342"/>
    <n v="102.5"/>
    <n v="270.03841463414636"/>
    <n v="32.4"/>
    <n v="405.05762195121952"/>
    <m/>
    <m/>
    <m/>
  </r>
  <r>
    <x v="34"/>
    <x v="20"/>
    <n v="2333"/>
    <n v="80"/>
    <n v="364.94"/>
    <n v="2383"/>
    <n v="364.94"/>
    <n v="50"/>
    <n v="2747.94"/>
    <n v="415.82"/>
    <n v="3163.76"/>
    <s v="DD"/>
    <n v="24.210925110132159"/>
    <n v="113.5"/>
    <n v="405.53299559471367"/>
    <n v="48.66"/>
    <n v="608.29949339207053"/>
    <m/>
    <m/>
    <m/>
  </r>
  <r>
    <x v="35"/>
    <x v="20"/>
    <n v="1848"/>
    <n v="50"/>
    <n v="242.07"/>
    <n v="1848"/>
    <n v="242.07"/>
    <n v="0"/>
    <n v="2090.0700000000002"/>
    <n v="354.72"/>
    <n v="2444.79"/>
    <s v="DD"/>
    <n v="23.483932584269663"/>
    <n v="89"/>
    <n v="117.41966292134832"/>
    <n v="12.92"/>
    <n v="176.12949438202247"/>
    <m/>
    <m/>
    <m/>
  </r>
  <r>
    <x v="37"/>
    <x v="20"/>
    <n v="1870"/>
    <n v="47"/>
    <n v="246.85"/>
    <n v="1870"/>
    <n v="246.85"/>
    <n v="0"/>
    <n v="2116.85"/>
    <n v="357.18"/>
    <n v="2474.0300000000002"/>
    <s v="DD"/>
    <n v="24.904117647058822"/>
    <n v="85"/>
    <n v="87.164411764705875"/>
    <n v="9.59"/>
    <n v="130.74661764705883"/>
    <m/>
    <m/>
    <m/>
  </r>
  <r>
    <x v="38"/>
    <x v="20"/>
    <n v="1702"/>
    <n v="55.5"/>
    <n v="227.66"/>
    <n v="1782"/>
    <n v="227.66"/>
    <n v="80"/>
    <n v="2009.66"/>
    <n v="347.24"/>
    <n v="2356.9"/>
    <s v="DD"/>
    <n v="24.658404907975463"/>
    <n v="81.5"/>
    <n v="191.10263803680985"/>
    <n v="19.11"/>
    <n v="286.65395705521479"/>
    <m/>
    <m/>
    <m/>
  </r>
  <r>
    <x v="39"/>
    <x v="20"/>
    <n v="2008"/>
    <n v="80"/>
    <n v="287.86"/>
    <n v="2058"/>
    <n v="287.86"/>
    <n v="50"/>
    <n v="2345.86"/>
    <n v="378.47"/>
    <n v="2724.33"/>
    <s v="DD"/>
    <n v="26.210726256983243"/>
    <n v="89.5"/>
    <n v="124.50094972067041"/>
    <n v="12.45"/>
    <n v="186.75142458100561"/>
    <m/>
    <m/>
    <m/>
  </r>
  <r>
    <x v="40"/>
    <x v="20"/>
    <n v="2169"/>
    <n v="80"/>
    <n v="324"/>
    <n v="2219"/>
    <n v="324.2"/>
    <n v="50"/>
    <n v="2543.1999999999998"/>
    <n v="396.81"/>
    <n v="2940.01"/>
    <s v="DD"/>
    <n v="26.352331606217618"/>
    <n v="96.5"/>
    <n v="217.40673575129534"/>
    <n v="19.57"/>
    <n v="326.11010362694299"/>
    <m/>
    <m/>
    <m/>
  </r>
  <r>
    <x v="41"/>
    <x v="20"/>
    <n v="440"/>
    <n v="20"/>
    <n v="49.29"/>
    <n v="440"/>
    <n v="49.29"/>
    <n v="0"/>
    <n v="489.29"/>
    <n v="85.59"/>
    <n v="574.88"/>
    <s v="DD"/>
    <n v="24.464500000000001"/>
    <n v="20"/>
    <n v="0"/>
    <n v="0"/>
    <n v="0"/>
    <m/>
    <m/>
    <m/>
  </r>
  <r>
    <x v="70"/>
    <x v="21"/>
    <m/>
    <n v="78"/>
    <m/>
    <m/>
    <m/>
    <m/>
    <m/>
    <m/>
    <m/>
    <m/>
    <m/>
    <m/>
    <m/>
    <n v="0"/>
    <m/>
    <m/>
    <m/>
    <m/>
  </r>
  <r>
    <x v="71"/>
    <x v="21"/>
    <m/>
    <n v="49.5"/>
    <m/>
    <m/>
    <m/>
    <m/>
    <m/>
    <m/>
    <m/>
    <m/>
    <m/>
    <m/>
    <m/>
    <n v="0"/>
    <m/>
    <m/>
    <m/>
    <m/>
  </r>
  <r>
    <x v="72"/>
    <x v="21"/>
    <m/>
    <n v="92"/>
    <m/>
    <m/>
    <m/>
    <m/>
    <m/>
    <m/>
    <m/>
    <m/>
    <m/>
    <m/>
    <m/>
    <n v="0"/>
    <m/>
    <m/>
    <m/>
    <m/>
  </r>
  <r>
    <x v="73"/>
    <x v="21"/>
    <m/>
    <n v="79.5"/>
    <m/>
    <m/>
    <m/>
    <m/>
    <m/>
    <m/>
    <m/>
    <m/>
    <m/>
    <m/>
    <m/>
    <n v="0"/>
    <m/>
    <m/>
    <m/>
    <m/>
  </r>
  <r>
    <x v="74"/>
    <x v="21"/>
    <m/>
    <n v="44.5"/>
    <m/>
    <m/>
    <m/>
    <m/>
    <m/>
    <m/>
    <m/>
    <m/>
    <m/>
    <m/>
    <m/>
    <n v="0"/>
    <m/>
    <m/>
    <m/>
    <m/>
  </r>
  <r>
    <x v="75"/>
    <x v="21"/>
    <m/>
    <n v="24"/>
    <m/>
    <m/>
    <m/>
    <m/>
    <m/>
    <m/>
    <m/>
    <m/>
    <m/>
    <m/>
    <m/>
    <n v="0"/>
    <m/>
    <m/>
    <m/>
    <m/>
  </r>
  <r>
    <x v="76"/>
    <x v="21"/>
    <m/>
    <n v="80"/>
    <m/>
    <m/>
    <m/>
    <m/>
    <m/>
    <m/>
    <m/>
    <m/>
    <m/>
    <m/>
    <m/>
    <n v="0"/>
    <m/>
    <m/>
    <m/>
    <m/>
  </r>
  <r>
    <x v="77"/>
    <x v="21"/>
    <m/>
    <n v="96.5"/>
    <m/>
    <m/>
    <m/>
    <m/>
    <m/>
    <m/>
    <m/>
    <m/>
    <m/>
    <m/>
    <m/>
    <n v="0"/>
    <m/>
    <m/>
    <m/>
    <m/>
  </r>
  <r>
    <x v="78"/>
    <x v="21"/>
    <m/>
    <n v="52"/>
    <m/>
    <m/>
    <m/>
    <m/>
    <m/>
    <m/>
    <m/>
    <m/>
    <m/>
    <m/>
    <m/>
    <n v="0"/>
    <m/>
    <m/>
    <m/>
    <m/>
  </r>
  <r>
    <x v="79"/>
    <x v="21"/>
    <m/>
    <n v="72"/>
    <m/>
    <m/>
    <m/>
    <m/>
    <m/>
    <m/>
    <m/>
    <m/>
    <m/>
    <m/>
    <m/>
    <n v="0"/>
    <m/>
    <m/>
    <m/>
    <m/>
  </r>
  <r>
    <x v="53"/>
    <x v="22"/>
    <m/>
    <n v="36"/>
    <m/>
    <m/>
    <m/>
    <m/>
    <m/>
    <m/>
    <m/>
    <m/>
    <m/>
    <m/>
    <m/>
    <n v="0"/>
    <m/>
    <m/>
    <m/>
    <m/>
  </r>
  <r>
    <x v="38"/>
    <x v="22"/>
    <n v="1785"/>
    <n v="80"/>
    <n v="280.64999999999998"/>
    <n v="2025"/>
    <n v="280.64999999999998"/>
    <n v="240"/>
    <n v="2305.65"/>
    <n v="388.56"/>
    <n v="2694.21"/>
    <n v="100185"/>
    <n v="20.494666666666667"/>
    <n v="112.5"/>
    <n v="333.03833333333336"/>
    <n v="33.299999999999997"/>
    <n v="499.5575"/>
    <n v="409.55"/>
    <m/>
    <m/>
  </r>
  <r>
    <x v="39"/>
    <x v="22"/>
    <n v="1710"/>
    <n v="80"/>
    <n v="211.96"/>
    <n v="1710"/>
    <n v="211.96"/>
    <n v="0"/>
    <n v="1921.96"/>
    <n v="350.63"/>
    <n v="2272.59"/>
    <n v="100186"/>
    <n v="20.231157894736842"/>
    <n v="95"/>
    <n v="151.73368421052632"/>
    <n v="15.17"/>
    <n v="227.60052631578947"/>
    <m/>
    <m/>
    <m/>
  </r>
  <r>
    <x v="40"/>
    <x v="22"/>
    <n v="1958"/>
    <n v="80"/>
    <n v="266.05"/>
    <n v="1958"/>
    <n v="266.05"/>
    <n v="0"/>
    <n v="2224.0500000000002"/>
    <n v="380.49"/>
    <n v="2604.54"/>
    <s v="DD"/>
    <n v="21.181428571428572"/>
    <n v="105"/>
    <n v="264.76785714285717"/>
    <n v="23.83"/>
    <n v="397.15178571428578"/>
    <m/>
    <m/>
    <m/>
  </r>
  <r>
    <x v="41"/>
    <x v="22"/>
    <n v="1862"/>
    <n v="80"/>
    <n v="245.11"/>
    <n v="1862"/>
    <n v="245.11"/>
    <n v="0"/>
    <n v="2107.11"/>
    <n v="359.57"/>
    <n v="2466.6799999999998"/>
    <s v="DD"/>
    <n v="21.501122448979594"/>
    <n v="98"/>
    <n v="193.51010204081635"/>
    <n v="17.420000000000002"/>
    <n v="290.26515306122451"/>
    <m/>
    <m/>
    <m/>
  </r>
  <r>
    <x v="42"/>
    <x v="22"/>
    <n v="1282"/>
    <n v="40.5"/>
    <n v="156.16"/>
    <n v="1282"/>
    <n v="156.16"/>
    <n v="0"/>
    <n v="1438.16"/>
    <n v="294.16000000000003"/>
    <n v="1732.32"/>
    <s v="DD"/>
    <n v="21.306074074074075"/>
    <n v="67.5"/>
    <n v="5.3265185185185189"/>
    <n v="0.48"/>
    <n v="7.9897777777777783"/>
    <m/>
    <m/>
    <m/>
  </r>
  <r>
    <x v="43"/>
    <x v="22"/>
    <n v="1700"/>
    <n v="80"/>
    <n v="209.78"/>
    <n v="1700"/>
    <n v="209.78"/>
    <n v="0"/>
    <n v="1909.78"/>
    <n v="337.96"/>
    <n v="2247.7399999999998"/>
    <s v="DD"/>
    <n v="21.33832402234637"/>
    <n v="89.5"/>
    <n v="101.35703910614527"/>
    <n v="8.11"/>
    <n v="152.03555865921788"/>
    <m/>
    <m/>
    <m/>
  </r>
  <r>
    <x v="44"/>
    <x v="22"/>
    <n v="1662"/>
    <n v="49.5"/>
    <n v="197.28"/>
    <n v="1662"/>
    <n v="197.28"/>
    <n v="0"/>
    <n v="1859.28"/>
    <n v="344.43"/>
    <n v="2203.71"/>
    <s v="DD"/>
    <n v="21.248914285714285"/>
    <n v="87.5"/>
    <n v="100.93234285714286"/>
    <n v="8.07"/>
    <n v="151.39851428571427"/>
    <m/>
    <m/>
    <m/>
  </r>
  <r>
    <x v="45"/>
    <x v="22"/>
    <n v="1073"/>
    <n v="41.5"/>
    <m/>
    <n v="1073"/>
    <n v="115.07"/>
    <n v="0"/>
    <n v="1188.07"/>
    <n v="220.48"/>
    <n v="1408.55"/>
    <s v="DD"/>
    <n v="18.991150442477878"/>
    <n v="56.5"/>
    <n v="14.243362831858409"/>
    <n v="1"/>
    <n v="21.365044247787615"/>
    <m/>
    <m/>
    <m/>
  </r>
  <r>
    <x v="46"/>
    <x v="22"/>
    <n v="1786"/>
    <n v="80"/>
    <m/>
    <n v="1786"/>
    <n v="184.16"/>
    <n v="0"/>
    <n v="1970.16"/>
    <n v="337.19"/>
    <n v="2307.35"/>
    <s v="DD"/>
    <n v="19"/>
    <n v="94"/>
    <n v="133"/>
    <n v="9.31"/>
    <n v="199.5"/>
    <m/>
    <m/>
    <m/>
  </r>
  <r>
    <x v="11"/>
    <x v="23"/>
    <m/>
    <n v="47"/>
    <m/>
    <m/>
    <m/>
    <m/>
    <m/>
    <m/>
    <m/>
    <m/>
    <m/>
    <m/>
    <m/>
    <m/>
    <m/>
    <m/>
    <m/>
    <m/>
  </r>
  <r>
    <x v="12"/>
    <x v="23"/>
    <n v="2280"/>
    <n v="80"/>
    <n v="194.88"/>
    <n v="2320"/>
    <n v="234.88"/>
    <n v="0"/>
    <n v="2514.88"/>
    <n v="413.54"/>
    <n v="2928.42"/>
    <s v="DD"/>
    <n v="20.446178861788617"/>
    <n v="123"/>
    <n v="439.59284552845526"/>
    <n v="92.31"/>
    <n v="659.38926829268291"/>
    <n v="409.55"/>
    <m/>
    <m/>
  </r>
  <r>
    <x v="13"/>
    <x v="23"/>
    <n v="1190"/>
    <n v="70"/>
    <n v="225.41"/>
    <n v="1750"/>
    <n v="435.41"/>
    <n v="350"/>
    <n v="1975.41"/>
    <n v="339.2"/>
    <n v="2314.61"/>
    <s v="DD"/>
    <n v="28.220142857142857"/>
    <n v="70"/>
    <n v="211.65107142857144"/>
    <n v="44.45"/>
    <n v="317.47660714285718"/>
    <m/>
    <m/>
    <m/>
  </r>
  <r>
    <x v="14"/>
    <x v="23"/>
    <n v="1686"/>
    <n v="80"/>
    <n v="848.03"/>
    <n v="2480"/>
    <n v="842.03"/>
    <n v="800"/>
    <n v="3328.03"/>
    <n v="490.44"/>
    <n v="3818.47"/>
    <s v="DD"/>
    <n v="29.451592920353981"/>
    <n v="113"/>
    <n v="485.95128318584068"/>
    <n v="97.19"/>
    <n v="728.92692477876108"/>
    <m/>
    <m/>
    <m/>
  </r>
  <r>
    <x v="15"/>
    <x v="23"/>
    <n v="1641"/>
    <n v="80"/>
    <n v="867.87"/>
    <n v="1760"/>
    <n v="636.87"/>
    <n v="350"/>
    <n v="2627.87"/>
    <n v="424.91"/>
    <n v="3052.78"/>
    <s v="DD"/>
    <n v="29.037237569060771"/>
    <n v="90.5"/>
    <n v="152.44549723756904"/>
    <n v="30.49"/>
    <n v="228.66824585635356"/>
    <m/>
    <m/>
    <m/>
  </r>
  <r>
    <x v="16"/>
    <x v="23"/>
    <n v="508.92"/>
    <n v="0"/>
    <n v="508.92"/>
    <m/>
    <n v="95.25"/>
    <n v="0"/>
    <n v="604.16999999999996"/>
    <n v="60.77"/>
    <n v="664.94"/>
    <s v="DD"/>
    <e v="#DIV/0!"/>
    <m/>
    <e v="#DIV/0!"/>
    <e v="#VALUE!"/>
    <e v="#DIV/0!"/>
    <m/>
    <m/>
    <m/>
  </r>
  <r>
    <x v="16"/>
    <x v="23"/>
    <n v="1191.08"/>
    <n v="80"/>
    <n v="440"/>
    <n v="1760"/>
    <n v="508.92"/>
    <n v="500"/>
    <n v="2200"/>
    <n v="381.86"/>
    <n v="2581.86"/>
    <s v="DD"/>
    <e v="#DIV/0!"/>
    <m/>
    <e v="#DIV/0!"/>
    <e v="#VALUE!"/>
    <e v="#DIV/0!"/>
    <m/>
    <m/>
    <m/>
  </r>
  <r>
    <x v="16"/>
    <x v="23"/>
    <n v="2352"/>
    <n v="80"/>
    <n v="1816.32"/>
    <n v="1760"/>
    <n v="924.32"/>
    <n v="300"/>
    <n v="3576.32"/>
    <n v="508.28"/>
    <n v="4084.6"/>
    <s v="DD"/>
    <e v="#DIV/0!"/>
    <m/>
    <e v="#DIV/0!"/>
    <e v="#VALUE!"/>
    <e v="#DIV/0!"/>
    <m/>
    <m/>
    <m/>
  </r>
  <r>
    <x v="80"/>
    <x v="24"/>
    <m/>
    <n v="60"/>
    <m/>
    <m/>
    <m/>
    <m/>
    <m/>
    <m/>
    <m/>
    <m/>
    <m/>
    <m/>
    <m/>
    <n v="0"/>
    <m/>
    <m/>
    <m/>
    <m/>
  </r>
  <r>
    <x v="18"/>
    <x v="25"/>
    <n v="1717"/>
    <n v="80"/>
    <n v="193.48"/>
    <n v="1717"/>
    <n v="193.48"/>
    <n v="0"/>
    <n v="1910.48"/>
    <n v="352.73"/>
    <n v="2263.21"/>
    <n v="100154"/>
    <n v="18.915643564356436"/>
    <n v="101"/>
    <n v="198.61425742574258"/>
    <n v="35.75"/>
    <n v="297.92138613861385"/>
    <n v="409.55"/>
    <m/>
    <m/>
  </r>
  <r>
    <x v="26"/>
    <x v="25"/>
    <n v="1173"/>
    <n v="69"/>
    <n v="212.93"/>
    <n v="1173"/>
    <n v="212.93"/>
    <n v="0"/>
    <n v="1385.93"/>
    <n v="299.98"/>
    <n v="1685.91"/>
    <n v="100156"/>
    <n v="20.085942028985507"/>
    <n v="69"/>
    <n v="0"/>
    <n v="0"/>
    <n v="0"/>
    <m/>
    <m/>
    <m/>
  </r>
  <r>
    <x v="20"/>
    <x v="25"/>
    <n v="1589"/>
    <n v="80"/>
    <n v="312.87"/>
    <n v="1589"/>
    <n v="312.87"/>
    <n v="0"/>
    <n v="1901.87"/>
    <n v="351.86"/>
    <n v="2253.73"/>
    <s v="DD"/>
    <n v="20.340855614973261"/>
    <n v="93.5"/>
    <n v="137.3007754010695"/>
    <n v="23.34"/>
    <n v="205.95116310160427"/>
    <m/>
    <m/>
    <m/>
  </r>
  <r>
    <x v="21"/>
    <x v="25"/>
    <n v="1598"/>
    <n v="80"/>
    <n v="315.12"/>
    <n v="1598"/>
    <n v="315.12"/>
    <n v="0"/>
    <n v="1913.12"/>
    <n v="352.33"/>
    <n v="2265.4499999999998"/>
    <s v="DD"/>
    <n v="21.74"/>
    <n v="88"/>
    <n v="86.96"/>
    <n v="14.78"/>
    <n v="130.44"/>
    <m/>
    <m/>
    <m/>
  </r>
  <r>
    <x v="22"/>
    <x v="25"/>
    <n v="1496"/>
    <n v="80"/>
    <n v="289.75"/>
    <n v="1496"/>
    <n v="289.75"/>
    <n v="0"/>
    <n v="1785.75"/>
    <n v="329.46"/>
    <n v="2115.21"/>
    <s v="DD"/>
    <n v="20.292613636363637"/>
    <n v="88"/>
    <n v="81.170454545454547"/>
    <n v="12.99"/>
    <n v="121.75568181818181"/>
    <m/>
    <m/>
    <m/>
  </r>
  <r>
    <x v="23"/>
    <x v="25"/>
    <n v="748"/>
    <n v="44"/>
    <n v="96.95"/>
    <n v="748"/>
    <n v="96.95"/>
    <n v="0"/>
    <n v="844.95"/>
    <n v="166.79"/>
    <n v="1011.74"/>
    <s v="DD"/>
    <n v="19.203409090909091"/>
    <n v="44"/>
    <n v="38.406818181818181"/>
    <n v="6.15"/>
    <n v="57.610227272727272"/>
    <m/>
    <m/>
    <m/>
  </r>
  <r>
    <x v="16"/>
    <x v="25"/>
    <n v="1020"/>
    <n v="60"/>
    <n v="166.62"/>
    <n v="1020"/>
    <n v="166.62"/>
    <n v="0"/>
    <n v="1186.6199999999999"/>
    <n v="230.64"/>
    <n v="1417.26"/>
    <s v="DD"/>
    <e v="#DIV/0!"/>
    <m/>
    <e v="#DIV/0!"/>
    <e v="#VALUE!"/>
    <e v="#DIV/0!"/>
    <m/>
    <m/>
    <m/>
  </r>
  <r>
    <x v="27"/>
    <x v="25"/>
    <n v="1666"/>
    <n v="80"/>
    <n v="332"/>
    <n v="1666"/>
    <n v="332"/>
    <n v="0"/>
    <n v="1998"/>
    <n v="346.16"/>
    <n v="2344.16"/>
    <s v="DD"/>
    <n v="20.387755102040817"/>
    <n v="98"/>
    <n v="183.48979591836735"/>
    <n v="27.52"/>
    <n v="275.23469387755102"/>
    <m/>
    <m/>
    <m/>
  </r>
  <r>
    <x v="28"/>
    <x v="25"/>
    <n v="1666"/>
    <n v="80"/>
    <n v="337.98"/>
    <n v="1660"/>
    <n v="331.98"/>
    <n v="0"/>
    <n v="1997.98"/>
    <n v="346.15"/>
    <n v="2344.13"/>
    <s v="DD"/>
    <n v="20.387551020408164"/>
    <n v="98"/>
    <n v="183.48795918367347"/>
    <n v="27.52"/>
    <n v="275.23193877551023"/>
    <m/>
    <m/>
    <m/>
  </r>
  <r>
    <x v="29"/>
    <x v="25"/>
    <n v="2201"/>
    <n v="80"/>
    <n v="319.74"/>
    <n v="2201"/>
    <n v="319.74"/>
    <n v="0"/>
    <n v="2520.7399999999998"/>
    <n v="394.71"/>
    <n v="2915.45"/>
    <s v="DD"/>
    <n v="19.465173745173743"/>
    <n v="129.5"/>
    <n v="481.76305019305016"/>
    <n v="67.45"/>
    <n v="722.64457528957519"/>
    <m/>
    <m/>
    <m/>
  </r>
  <r>
    <x v="30"/>
    <x v="25"/>
    <n v="2014"/>
    <n v="57.5"/>
    <n v="218.96"/>
    <n v="2014"/>
    <n v="218.96"/>
    <n v="0"/>
    <n v="2232.96"/>
    <n v="367.98"/>
    <n v="2600.94"/>
    <s v="DD"/>
    <n v="23.629206349206349"/>
    <n v="94.5"/>
    <n v="206.75555555555556"/>
    <n v="28.95"/>
    <n v="310.13333333333333"/>
    <m/>
    <m/>
    <m/>
  </r>
  <r>
    <x v="81"/>
    <x v="25"/>
    <m/>
    <n v="52.5"/>
    <m/>
    <m/>
    <m/>
    <m/>
    <m/>
    <m/>
    <m/>
    <m/>
    <m/>
    <m/>
    <m/>
    <n v="0"/>
    <m/>
    <m/>
    <m/>
    <m/>
  </r>
  <r>
    <x v="31"/>
    <x v="25"/>
    <n v="1632"/>
    <n v="43.5"/>
    <n v="194.95"/>
    <n v="1632"/>
    <n v="194.95"/>
    <n v="0"/>
    <n v="1826.95"/>
    <n v="330.27"/>
    <n v="2157.2199999999998"/>
    <s v="DD"/>
    <n v="41.998850574712648"/>
    <n v="43.5"/>
    <n v="0"/>
    <n v="0"/>
    <n v="0"/>
    <m/>
    <m/>
    <m/>
  </r>
  <r>
    <x v="32"/>
    <x v="25"/>
    <n v="646"/>
    <n v="80"/>
    <n v="101.54"/>
    <n v="646"/>
    <n v="101.57"/>
    <n v="-0.03"/>
    <n v="747.54"/>
    <n v="229.99"/>
    <n v="977.53"/>
    <n v="100180"/>
    <n v="16"/>
    <n v="124"/>
    <n v="352"/>
    <n v="45.76"/>
    <n v="528"/>
    <m/>
    <m/>
    <m/>
  </r>
  <r>
    <x v="33"/>
    <x v="25"/>
    <n v="918"/>
    <n v="51"/>
    <n v="108.19"/>
    <n v="918"/>
    <n v="108.19"/>
    <n v="0"/>
    <n v="1026.19"/>
    <n v="197.67"/>
    <n v="1223.8599999999999"/>
    <s v="DD"/>
    <n v="16"/>
    <n v="125.5"/>
    <n v="364"/>
    <n v="43.68"/>
    <n v="546"/>
    <m/>
    <m/>
    <m/>
  </r>
  <r>
    <x v="34"/>
    <x v="25"/>
    <n v="2178"/>
    <n v="80"/>
    <n v="314.02"/>
    <n v="2178"/>
    <n v="314.02"/>
    <n v="0"/>
    <n v="2492.02"/>
    <n v="392.06"/>
    <n v="2884.08"/>
    <s v="DD"/>
    <n v="18.189927007299271"/>
    <n v="137"/>
    <n v="518.41291970802922"/>
    <n v="62.21"/>
    <n v="777.61937956204383"/>
    <m/>
    <m/>
    <m/>
  </r>
  <r>
    <x v="35"/>
    <x v="25"/>
    <n v="1602"/>
    <n v="55"/>
    <n v="188.41"/>
    <n v="1602"/>
    <n v="188.41"/>
    <n v="0"/>
    <n v="1790.41"/>
    <n v="326.86"/>
    <n v="2117.27"/>
    <s v="DD"/>
    <n v="20.004581005586594"/>
    <n v="89.5"/>
    <n v="150.03435754189945"/>
    <n v="16.5"/>
    <n v="225.05153631284918"/>
    <m/>
    <m/>
    <m/>
  </r>
  <r>
    <x v="37"/>
    <x v="25"/>
    <n v="2268"/>
    <n v="80"/>
    <n v="336.4"/>
    <n v="2268"/>
    <n v="336.4"/>
    <n v="0"/>
    <n v="2604.4"/>
    <n v="402.5"/>
    <n v="3006.9"/>
    <s v="DD"/>
    <n v="20.669841269841271"/>
    <n v="126"/>
    <n v="475.4063492063492"/>
    <n v="52.29"/>
    <n v="713.10952380952381"/>
    <m/>
    <m/>
    <m/>
  </r>
  <r>
    <x v="38"/>
    <x v="25"/>
    <n v="2241"/>
    <n v="80"/>
    <n v="329.66"/>
    <n v="2241"/>
    <n v="329.66"/>
    <n v="0"/>
    <n v="2570.66"/>
    <n v="399.34"/>
    <n v="2970"/>
    <s v="DD"/>
    <n v="20.647871485943774"/>
    <n v="124.5"/>
    <n v="459.41514056224901"/>
    <n v="45.94"/>
    <n v="689.12271084337351"/>
    <m/>
    <m/>
    <m/>
  </r>
  <r>
    <x v="39"/>
    <x v="25"/>
    <n v="1638"/>
    <n v="80"/>
    <n v="196.26"/>
    <n v="1638"/>
    <n v="196.26"/>
    <n v="0"/>
    <n v="1834.26"/>
    <n v="330.95"/>
    <n v="2165.21"/>
    <s v="DD"/>
    <n v="19.206910994764399"/>
    <n v="95.5"/>
    <n v="148.8535602094241"/>
    <n v="14.89"/>
    <n v="223.28034031413614"/>
    <m/>
    <m/>
    <m/>
  </r>
  <r>
    <x v="40"/>
    <x v="25"/>
    <n v="2169"/>
    <n v="80"/>
    <n v="312.06"/>
    <n v="2169"/>
    <n v="312.06"/>
    <n v="0"/>
    <n v="2481.06"/>
    <n v="391.03"/>
    <n v="2872.09"/>
    <s v="DD"/>
    <n v="20.589709543568464"/>
    <n v="120.5"/>
    <n v="416.94161825726138"/>
    <n v="37.520000000000003"/>
    <n v="625.4124273858921"/>
    <m/>
    <m/>
    <m/>
  </r>
  <r>
    <x v="41"/>
    <x v="25"/>
    <n v="1531"/>
    <n v="66.5"/>
    <n v="177.52"/>
    <n v="1531"/>
    <n v="177.52"/>
    <n v="0"/>
    <n v="1708.52"/>
    <n v="319.27"/>
    <n v="2027.79"/>
    <s v="DD"/>
    <n v="19.089608938547485"/>
    <n v="89.5"/>
    <n v="252.93731843575418"/>
    <n v="22.76"/>
    <n v="379.40597765363128"/>
    <m/>
    <m/>
    <m/>
  </r>
  <r>
    <x v="82"/>
    <x v="26"/>
    <m/>
    <n v="88.5"/>
    <m/>
    <m/>
    <m/>
    <m/>
    <m/>
    <m/>
    <m/>
    <m/>
    <m/>
    <m/>
    <m/>
    <n v="0"/>
    <m/>
    <m/>
    <m/>
    <m/>
  </r>
  <r>
    <x v="79"/>
    <x v="26"/>
    <m/>
    <n v="80.5"/>
    <m/>
    <m/>
    <m/>
    <m/>
    <m/>
    <m/>
    <m/>
    <m/>
    <m/>
    <m/>
    <m/>
    <n v="0"/>
    <m/>
    <m/>
    <m/>
    <m/>
  </r>
  <r>
    <x v="16"/>
    <x v="27"/>
    <n v="1044"/>
    <n v="80"/>
    <n v="135.72"/>
    <n v="1044"/>
    <n v="135.72"/>
    <n v="0"/>
    <n v="1179.72"/>
    <n v="277.22000000000003"/>
    <n v="1456.94"/>
    <n v="100188"/>
    <e v="#DIV/0!"/>
    <m/>
    <e v="#DIV/0!"/>
    <e v="#VALUE!"/>
    <e v="#DIV/0!"/>
    <n v="409.55"/>
    <m/>
    <m/>
  </r>
  <r>
    <x v="41"/>
    <x v="27"/>
    <n v="2376"/>
    <n v="80"/>
    <n v="399"/>
    <n v="2520"/>
    <n v="399"/>
    <n v="144"/>
    <n v="2919"/>
    <n v="449.22"/>
    <n v="3368.22"/>
    <n v="100189"/>
    <n v="20.85"/>
    <n v="140"/>
    <n v="625.5"/>
    <n v="56.3"/>
    <n v="938.25"/>
    <m/>
    <m/>
    <m/>
  </r>
  <r>
    <x v="42"/>
    <x v="27"/>
    <n v="1845"/>
    <n v="69"/>
    <n v="241.41"/>
    <n v="1845"/>
    <n v="241.41"/>
    <n v="0"/>
    <n v="2086.41"/>
    <n v="366.89"/>
    <n v="2453.3000000000002"/>
    <s v="DD"/>
    <n v="20.35521951219512"/>
    <n v="102.5"/>
    <n v="295.15068292682923"/>
    <n v="26.56"/>
    <n v="442.72602439024388"/>
    <m/>
    <m/>
    <m/>
  </r>
  <r>
    <x v="43"/>
    <x v="27"/>
    <n v="1530"/>
    <n v="57.5"/>
    <n v="177.43"/>
    <n v="1530"/>
    <n v="177.43"/>
    <n v="0"/>
    <n v="1707.43"/>
    <n v="324.05"/>
    <n v="2031.48"/>
    <s v="DD"/>
    <n v="20.087411764705884"/>
    <n v="85"/>
    <n v="175.76485294117649"/>
    <n v="14.06"/>
    <n v="263.64727941176471"/>
    <m/>
    <m/>
    <m/>
  </r>
  <r>
    <x v="44"/>
    <x v="27"/>
    <n v="612"/>
    <n v="34"/>
    <n v="72.13"/>
    <n v="612"/>
    <n v="72.13"/>
    <n v="0"/>
    <n v="684.13"/>
    <n v="135.88999999999999"/>
    <n v="820.02"/>
    <s v="DD"/>
    <n v="20.121470588235294"/>
    <n v="34"/>
    <n v="0"/>
    <n v="0"/>
    <n v="0"/>
    <m/>
    <m/>
    <m/>
  </r>
  <r>
    <x v="46"/>
    <x v="27"/>
    <n v="2428"/>
    <n v="52.5"/>
    <m/>
    <n v="1440"/>
    <n v="296.99"/>
    <n v="12"/>
    <n v="2736.99"/>
    <n v="385.8"/>
    <n v="3122.79"/>
    <s v="DD"/>
    <n v="20"/>
    <n v="72"/>
    <n v="125"/>
    <n v="8.75"/>
    <n v="187.5"/>
    <m/>
    <m/>
    <m/>
  </r>
  <r>
    <x v="47"/>
    <x v="27"/>
    <n v="1895"/>
    <n v="59.5"/>
    <m/>
    <n v="1930"/>
    <n v="201.11"/>
    <n v="35"/>
    <n v="2131.11"/>
    <n v="303.3"/>
    <n v="2434.41"/>
    <s v="DD"/>
    <n v="20"/>
    <n v="96.5"/>
    <n v="195"/>
    <n v="11.7"/>
    <n v="292.5"/>
    <m/>
    <m/>
    <m/>
  </r>
  <r>
    <x v="48"/>
    <x v="27"/>
    <n v="1710"/>
    <n v="80"/>
    <m/>
    <n v="1710"/>
    <n v="168.82"/>
    <n v="0"/>
    <n v="1878.82"/>
    <n v="281.54000000000002"/>
    <n v="2160.36"/>
    <s v="DD"/>
    <n v="20"/>
    <n v="85.5"/>
    <n v="55"/>
    <n v="3.3"/>
    <n v="82.5"/>
    <m/>
    <m/>
    <m/>
  </r>
  <r>
    <x v="49"/>
    <x v="27"/>
    <n v="1700"/>
    <n v="80"/>
    <m/>
    <n v="1700"/>
    <n v="168.02"/>
    <n v="0"/>
    <n v="1868.02"/>
    <n v="271.77"/>
    <n v="2139.79"/>
    <s v="DD"/>
    <n v="20"/>
    <n v="85"/>
    <n v="50"/>
    <n v="2.5"/>
    <n v="75"/>
    <m/>
    <m/>
    <m/>
  </r>
  <r>
    <x v="50"/>
    <x v="27"/>
    <n v="710.54"/>
    <n v="31"/>
    <m/>
    <n v="787.5"/>
    <n v="76.959999999999994"/>
    <n v="0"/>
    <n v="787.5"/>
    <n v="122.34"/>
    <n v="909.84"/>
    <s v="DD"/>
    <n v="22.5"/>
    <n v="35"/>
    <n v="0"/>
    <n v="0"/>
    <n v="0"/>
    <m/>
    <m/>
    <m/>
  </r>
  <r>
    <x v="11"/>
    <x v="28"/>
    <m/>
    <n v="47"/>
    <m/>
    <m/>
    <m/>
    <m/>
    <m/>
    <m/>
    <m/>
    <m/>
    <m/>
    <m/>
    <m/>
    <n v="0"/>
    <m/>
    <m/>
    <m/>
    <m/>
  </r>
  <r>
    <x v="36"/>
    <x v="28"/>
    <m/>
    <n v="125"/>
    <m/>
    <m/>
    <m/>
    <m/>
    <m/>
    <m/>
    <m/>
    <m/>
    <m/>
    <m/>
    <m/>
    <n v="0"/>
    <m/>
    <m/>
    <m/>
    <m/>
  </r>
  <r>
    <x v="83"/>
    <x v="28"/>
    <m/>
    <n v="61.5"/>
    <m/>
    <m/>
    <m/>
    <m/>
    <m/>
    <m/>
    <m/>
    <m/>
    <m/>
    <m/>
    <m/>
    <n v="0"/>
    <m/>
    <m/>
    <m/>
    <m/>
  </r>
  <r>
    <x v="84"/>
    <x v="28"/>
    <m/>
    <n v="121"/>
    <m/>
    <m/>
    <m/>
    <m/>
    <m/>
    <m/>
    <m/>
    <m/>
    <m/>
    <m/>
    <m/>
    <n v="0"/>
    <m/>
    <m/>
    <m/>
    <m/>
  </r>
  <r>
    <x v="85"/>
    <x v="28"/>
    <m/>
    <n v="87.5"/>
    <m/>
    <m/>
    <m/>
    <m/>
    <m/>
    <m/>
    <m/>
    <m/>
    <m/>
    <m/>
    <m/>
    <n v="0"/>
    <m/>
    <m/>
    <m/>
    <m/>
  </r>
  <r>
    <x v="86"/>
    <x v="28"/>
    <m/>
    <n v="121.5"/>
    <m/>
    <m/>
    <m/>
    <m/>
    <m/>
    <m/>
    <m/>
    <m/>
    <m/>
    <m/>
    <m/>
    <n v="0"/>
    <m/>
    <m/>
    <m/>
    <m/>
  </r>
  <r>
    <x v="87"/>
    <x v="28"/>
    <m/>
    <n v="28"/>
    <m/>
    <m/>
    <m/>
    <m/>
    <m/>
    <m/>
    <m/>
    <m/>
    <m/>
    <m/>
    <m/>
    <n v="0"/>
    <m/>
    <m/>
    <m/>
    <m/>
  </r>
  <r>
    <x v="16"/>
    <x v="28"/>
    <n v="2100"/>
    <n v="80"/>
    <n v="326.33999999999997"/>
    <n v="2000"/>
    <n v="226.34"/>
    <n v="0"/>
    <n v="2326.34"/>
    <n v="394.57"/>
    <n v="2720.91"/>
    <n v="100167"/>
    <e v="#DIV/0!"/>
    <m/>
    <e v="#DIV/0!"/>
    <e v="#VALUE!"/>
    <e v="#DIV/0!"/>
    <n v="409.55"/>
    <m/>
    <m/>
  </r>
  <r>
    <x v="16"/>
    <x v="28"/>
    <n v="2300"/>
    <n v="80"/>
    <n v="837.96"/>
    <n v="2000"/>
    <n v="537.96"/>
    <n v="0"/>
    <n v="2837.96"/>
    <n v="446.05"/>
    <n v="3284.01"/>
    <n v="100163"/>
    <e v="#DIV/0!"/>
    <m/>
    <e v="#DIV/0!"/>
    <e v="#VALUE!"/>
    <e v="#DIV/0!"/>
    <m/>
    <m/>
    <m/>
  </r>
  <r>
    <x v="16"/>
    <x v="28"/>
    <n v="2310"/>
    <n v="80"/>
    <n v="850.43"/>
    <n v="2000"/>
    <n v="540.42999999999995"/>
    <n v="0"/>
    <n v="2850.43"/>
    <n v="441.19"/>
    <n v="3291.62"/>
    <n v="100168"/>
    <e v="#DIV/0!"/>
    <m/>
    <e v="#DIV/0!"/>
    <e v="#VALUE!"/>
    <e v="#DIV/0!"/>
    <m/>
    <m/>
    <m/>
  </r>
  <r>
    <x v="16"/>
    <x v="28"/>
    <n v="2310"/>
    <n v="80"/>
    <n v="850.44"/>
    <n v="2000"/>
    <n v="540.44000000000005"/>
    <n v="0"/>
    <n v="2850.44"/>
    <n v="430.19"/>
    <n v="3280.63"/>
    <s v="DD"/>
    <e v="#DIV/0!"/>
    <m/>
    <e v="#DIV/0!"/>
    <e v="#VALUE!"/>
    <e v="#DIV/0!"/>
    <m/>
    <m/>
    <m/>
  </r>
  <r>
    <x v="23"/>
    <x v="28"/>
    <n v="2150"/>
    <n v="59"/>
    <n v="650.67999999999995"/>
    <n v="2000"/>
    <n v="500.68"/>
    <n v="0"/>
    <n v="2650.68"/>
    <n v="406.79"/>
    <n v="3057.47"/>
    <s v="DD"/>
    <n v="44.926779661016944"/>
    <n v="59"/>
    <n v="0"/>
    <n v="0"/>
    <n v="0"/>
    <m/>
    <m/>
    <m/>
  </r>
  <r>
    <x v="24"/>
    <x v="28"/>
    <n v="2570"/>
    <n v="80"/>
    <n v="1175.03"/>
    <n v="2000"/>
    <n v="605.03"/>
    <n v="0"/>
    <n v="3175.03"/>
    <n v="455.5"/>
    <n v="3630.53"/>
    <s v="DD"/>
    <n v="32.901865284974093"/>
    <n v="96.5"/>
    <n v="271.44038860103626"/>
    <n v="43.43"/>
    <n v="407.16058290155439"/>
    <m/>
    <m/>
    <m/>
  </r>
  <r>
    <x v="27"/>
    <x v="28"/>
    <n v="2570"/>
    <n v="80"/>
    <n v="1175.04"/>
    <n v="2000"/>
    <n v="605.04"/>
    <n v="0"/>
    <n v="3175.04"/>
    <n v="455.52"/>
    <n v="3630.56"/>
    <s v="DD"/>
    <n v="36.919069767441862"/>
    <n v="86"/>
    <n v="110.75720930232558"/>
    <n v="16.61"/>
    <n v="166.13581395348837"/>
    <m/>
    <m/>
    <m/>
  </r>
  <r>
    <x v="28"/>
    <x v="28"/>
    <n v="2060"/>
    <n v="56"/>
    <n v="538.29"/>
    <n v="2000"/>
    <n v="478.29"/>
    <n v="0"/>
    <n v="2538.29"/>
    <n v="396.34"/>
    <n v="2934.63"/>
    <s v="DD"/>
    <n v="37.327794117647059"/>
    <n v="68"/>
    <n v="298.62235294117647"/>
    <n v="44.79"/>
    <n v="447.93352941176471"/>
    <m/>
    <m/>
    <m/>
  </r>
  <r>
    <x v="29"/>
    <x v="28"/>
    <n v="3020"/>
    <n v="80"/>
    <n v="1772.02"/>
    <n v="2000"/>
    <n v="752.02"/>
    <n v="0"/>
    <n v="3772.02"/>
    <n v="510.97"/>
    <n v="4282.99"/>
    <s v="DD"/>
    <n v="24.980264900662252"/>
    <n v="151"/>
    <n v="886.79940397350992"/>
    <n v="124.15"/>
    <n v="1330.1991059602649"/>
    <m/>
    <m/>
    <m/>
  </r>
  <r>
    <x v="30"/>
    <x v="28"/>
    <n v="2130"/>
    <n v="80"/>
    <n v="358.91"/>
    <n v="2000"/>
    <n v="228.91"/>
    <n v="0"/>
    <n v="2358.91"/>
    <n v="379.67"/>
    <n v="2738.58"/>
    <s v="DD"/>
    <n v="22.149389671361501"/>
    <n v="106.5"/>
    <n v="293.47941314553987"/>
    <n v="41.09"/>
    <n v="440.2191197183098"/>
    <m/>
    <m/>
    <m/>
  </r>
  <r>
    <x v="51"/>
    <x v="28"/>
    <m/>
    <n v="91"/>
    <m/>
    <m/>
    <m/>
    <m/>
    <m/>
    <m/>
    <m/>
    <m/>
    <m/>
    <m/>
    <m/>
    <n v="0"/>
    <m/>
    <m/>
    <m/>
    <m/>
  </r>
  <r>
    <x v="67"/>
    <x v="28"/>
    <m/>
    <n v="124"/>
    <m/>
    <m/>
    <m/>
    <m/>
    <m/>
    <m/>
    <m/>
    <m/>
    <m/>
    <m/>
    <m/>
    <n v="0"/>
    <m/>
    <m/>
    <m/>
    <m/>
  </r>
  <r>
    <x v="68"/>
    <x v="28"/>
    <m/>
    <n v="123"/>
    <m/>
    <m/>
    <m/>
    <m/>
    <m/>
    <m/>
    <m/>
    <m/>
    <m/>
    <m/>
    <m/>
    <n v="0"/>
    <m/>
    <m/>
    <m/>
    <m/>
  </r>
  <r>
    <x v="52"/>
    <x v="28"/>
    <m/>
    <n v="137"/>
    <m/>
    <m/>
    <m/>
    <m/>
    <m/>
    <m/>
    <m/>
    <m/>
    <m/>
    <m/>
    <m/>
    <n v="0"/>
    <m/>
    <m/>
    <m/>
    <m/>
  </r>
  <r>
    <x v="25"/>
    <x v="28"/>
    <m/>
    <n v="107.5"/>
    <m/>
    <m/>
    <m/>
    <m/>
    <m/>
    <m/>
    <m/>
    <m/>
    <m/>
    <m/>
    <m/>
    <n v="0"/>
    <m/>
    <m/>
    <m/>
    <m/>
  </r>
  <r>
    <x v="53"/>
    <x v="28"/>
    <m/>
    <n v="112"/>
    <m/>
    <m/>
    <m/>
    <m/>
    <m/>
    <m/>
    <m/>
    <m/>
    <m/>
    <m/>
    <m/>
    <n v="0"/>
    <m/>
    <m/>
    <m/>
    <m/>
  </r>
  <r>
    <x v="16"/>
    <x v="29"/>
    <n v="2020"/>
    <n v="80"/>
    <n v="219.48"/>
    <n v="2020"/>
    <n v="219.48"/>
    <n v="0"/>
    <n v="2239.48"/>
    <n v="385.84"/>
    <n v="2625.32"/>
    <n v="100151"/>
    <e v="#DIV/0!"/>
    <m/>
    <e v="#DIV/0!"/>
    <e v="#VALUE!"/>
    <e v="#DIV/0!"/>
    <n v="409.55"/>
    <m/>
    <m/>
  </r>
  <r>
    <x v="16"/>
    <x v="29"/>
    <n v="1340"/>
    <n v="80"/>
    <n v="198.89"/>
    <n v="1780"/>
    <n v="198.89"/>
    <n v="440"/>
    <n v="1978.89"/>
    <n v="359.62"/>
    <n v="2338.5100000000002"/>
    <n v="100161"/>
    <e v="#DIV/0!"/>
    <m/>
    <e v="#DIV/0!"/>
    <e v="#VALUE!"/>
    <e v="#DIV/0!"/>
    <m/>
    <m/>
    <m/>
  </r>
  <r>
    <x v="16"/>
    <x v="29"/>
    <n v="1795"/>
    <n v="80"/>
    <n v="433.13"/>
    <n v="1870"/>
    <n v="433.13"/>
    <n v="75"/>
    <n v="2303.13"/>
    <n v="392.22"/>
    <n v="2695.35"/>
    <n v="100165"/>
    <e v="#DIV/0!"/>
    <m/>
    <e v="#DIV/0!"/>
    <e v="#VALUE!"/>
    <e v="#DIV/0!"/>
    <m/>
    <m/>
    <m/>
  </r>
  <r>
    <x v="16"/>
    <x v="29"/>
    <n v="1320"/>
    <n v="80"/>
    <n v="386.59"/>
    <n v="1760"/>
    <n v="386.59"/>
    <n v="440"/>
    <n v="2146.59"/>
    <n v="366.49"/>
    <n v="2513.08"/>
    <n v="100170"/>
    <e v="#DIV/0!"/>
    <m/>
    <e v="#DIV/0!"/>
    <e v="#VALUE!"/>
    <e v="#DIV/0!"/>
    <m/>
    <m/>
    <m/>
  </r>
  <r>
    <x v="16"/>
    <x v="29"/>
    <n v="1449"/>
    <n v="69"/>
    <n v="299"/>
    <n v="1452"/>
    <n v="302"/>
    <n v="0"/>
    <n v="1751"/>
    <n v="301.13"/>
    <n v="2052.13"/>
    <n v="100177"/>
    <e v="#DIV/0!"/>
    <m/>
    <e v="#DIV/0!"/>
    <e v="#VALUE!"/>
    <e v="#DIV/0!"/>
    <m/>
    <m/>
    <m/>
  </r>
  <r>
    <x v="29"/>
    <x v="29"/>
    <n v="1500"/>
    <n v="65"/>
    <n v="318.64999999999998"/>
    <n v="1500"/>
    <n v="318.64999999999998"/>
    <n v="0"/>
    <n v="1818.65"/>
    <n v="319.45"/>
    <n v="2138.1"/>
    <n v="100178"/>
    <n v="24.248666666666669"/>
    <n v="75"/>
    <n v="303.10833333333335"/>
    <n v="42.44"/>
    <n v="454.66250000000002"/>
    <m/>
    <m/>
    <m/>
  </r>
  <r>
    <x v="88"/>
    <x v="30"/>
    <m/>
    <n v="94"/>
    <m/>
    <m/>
    <m/>
    <m/>
    <m/>
    <m/>
    <m/>
    <m/>
    <m/>
    <m/>
    <m/>
    <n v="0"/>
    <m/>
    <m/>
    <m/>
    <m/>
  </r>
  <r>
    <x v="87"/>
    <x v="31"/>
    <m/>
    <n v="101"/>
    <m/>
    <m/>
    <m/>
    <m/>
    <m/>
    <m/>
    <m/>
    <m/>
    <m/>
    <m/>
    <m/>
    <n v="0"/>
    <m/>
    <m/>
    <m/>
    <m/>
  </r>
  <r>
    <x v="89"/>
    <x v="31"/>
    <m/>
    <n v="89"/>
    <m/>
    <m/>
    <m/>
    <m/>
    <m/>
    <m/>
    <m/>
    <m/>
    <m/>
    <m/>
    <m/>
    <n v="0"/>
    <m/>
    <m/>
    <m/>
    <m/>
  </r>
  <r>
    <x v="90"/>
    <x v="31"/>
    <m/>
    <n v="93.5"/>
    <m/>
    <m/>
    <m/>
    <m/>
    <m/>
    <m/>
    <m/>
    <m/>
    <m/>
    <m/>
    <m/>
    <n v="0"/>
    <m/>
    <m/>
    <m/>
    <m/>
  </r>
  <r>
    <x v="42"/>
    <x v="31"/>
    <n v="664"/>
    <n v="58"/>
    <n v="135.72"/>
    <n v="1044"/>
    <n v="135.72"/>
    <n v="380"/>
    <n v="1179.72"/>
    <n v="277.22000000000003"/>
    <n v="1456.94"/>
    <s v="DD"/>
    <n v="20.34"/>
    <n v="58"/>
    <n v="0"/>
    <n v="0"/>
    <n v="0"/>
    <n v="409.55"/>
    <m/>
    <m/>
  </r>
  <r>
    <x v="43"/>
    <x v="31"/>
    <n v="1621"/>
    <n v="80"/>
    <n v="229.63"/>
    <n v="1791"/>
    <n v="229.63"/>
    <n v="170"/>
    <n v="2020.63"/>
    <n v="360.38"/>
    <n v="2381.0100000000002"/>
    <s v="DD"/>
    <n v="21.611016042780751"/>
    <n v="93.5"/>
    <n v="145.87435828877005"/>
    <n v="11.67"/>
    <n v="218.81153743315508"/>
    <m/>
    <m/>
    <m/>
  </r>
  <r>
    <x v="44"/>
    <x v="31"/>
    <n v="2593"/>
    <n v="50"/>
    <n v="411.62"/>
    <n v="1593"/>
    <n v="411.62"/>
    <n v="0"/>
    <n v="3004.62"/>
    <n v="457.7"/>
    <n v="3462.32"/>
    <s v="DD"/>
    <n v="22.651073446327683"/>
    <n v="88.5"/>
    <n v="113.25536723163842"/>
    <n v="9.06"/>
    <n v="169.88305084745764"/>
    <m/>
    <m/>
    <m/>
  </r>
  <r>
    <x v="45"/>
    <x v="31"/>
    <n v="1502"/>
    <n v="51.5"/>
    <m/>
    <n v="1602"/>
    <n v="169.09"/>
    <n v="100"/>
    <n v="1771.09"/>
    <n v="318.98"/>
    <n v="2090.0700000000002"/>
    <s v="DD"/>
    <n v="18"/>
    <n v="89"/>
    <n v="103.5"/>
    <n v="7.25"/>
    <n v="155.25"/>
    <m/>
    <m/>
    <m/>
  </r>
  <r>
    <x v="46"/>
    <x v="31"/>
    <n v="1777"/>
    <n v="80"/>
    <m/>
    <n v="1827"/>
    <n v="191.49"/>
    <n v="50"/>
    <n v="2018.49"/>
    <n v="341.22"/>
    <n v="2359.71"/>
    <s v="DD"/>
    <n v="18"/>
    <n v="101.5"/>
    <n v="193.5"/>
    <n v="13.55"/>
    <n v="290.25"/>
    <m/>
    <m/>
    <m/>
  </r>
  <r>
    <x v="47"/>
    <x v="31"/>
    <n v="1476"/>
    <n v="43"/>
    <m/>
    <n v="1476"/>
    <n v="159.13999999999999"/>
    <n v="0"/>
    <n v="1635.14"/>
    <n v="301.08"/>
    <n v="1936.22"/>
    <n v="100194"/>
    <n v="18.222222222222221"/>
    <n v="81"/>
    <n v="27.333333333333332"/>
    <n v="1.64"/>
    <n v="41"/>
    <m/>
    <m/>
    <m/>
  </r>
  <r>
    <x v="64"/>
    <x v="32"/>
    <m/>
    <n v="65"/>
    <m/>
    <m/>
    <m/>
    <m/>
    <m/>
    <m/>
    <m/>
    <m/>
    <m/>
    <m/>
    <m/>
    <n v="0"/>
    <m/>
    <m/>
    <m/>
    <m/>
  </r>
  <r>
    <x v="91"/>
    <x v="33"/>
    <m/>
    <n v="66.5"/>
    <m/>
    <m/>
    <m/>
    <m/>
    <m/>
    <m/>
    <m/>
    <m/>
    <m/>
    <m/>
    <m/>
    <n v="0"/>
    <m/>
    <m/>
    <m/>
    <m/>
  </r>
  <r>
    <x v="70"/>
    <x v="33"/>
    <m/>
    <n v="97"/>
    <m/>
    <m/>
    <m/>
    <m/>
    <m/>
    <m/>
    <m/>
    <m/>
    <m/>
    <m/>
    <m/>
    <n v="0"/>
    <m/>
    <m/>
    <m/>
    <m/>
  </r>
  <r>
    <x v="71"/>
    <x v="33"/>
    <m/>
    <n v="102.5"/>
    <m/>
    <m/>
    <m/>
    <m/>
    <m/>
    <m/>
    <m/>
    <m/>
    <m/>
    <m/>
    <m/>
    <n v="0"/>
    <m/>
    <m/>
    <m/>
    <m/>
  </r>
  <r>
    <x v="72"/>
    <x v="33"/>
    <m/>
    <n v="81"/>
    <m/>
    <m/>
    <m/>
    <m/>
    <m/>
    <m/>
    <m/>
    <m/>
    <m/>
    <m/>
    <m/>
    <n v="0"/>
    <m/>
    <m/>
    <m/>
    <m/>
  </r>
  <r>
    <x v="74"/>
    <x v="33"/>
    <m/>
    <n v="79"/>
    <m/>
    <m/>
    <m/>
    <m/>
    <m/>
    <m/>
    <m/>
    <m/>
    <m/>
    <m/>
    <m/>
    <n v="0"/>
    <m/>
    <m/>
    <m/>
    <m/>
  </r>
  <r>
    <x v="82"/>
    <x v="34"/>
    <m/>
    <n v="83.5"/>
    <m/>
    <m/>
    <m/>
    <m/>
    <m/>
    <m/>
    <m/>
    <m/>
    <m/>
    <m/>
    <m/>
    <n v="0"/>
    <m/>
    <m/>
    <m/>
    <m/>
  </r>
  <r>
    <x v="79"/>
    <x v="34"/>
    <m/>
    <n v="106.5"/>
    <m/>
    <m/>
    <m/>
    <m/>
    <m/>
    <m/>
    <m/>
    <m/>
    <m/>
    <m/>
    <m/>
    <n v="0"/>
    <m/>
    <m/>
    <m/>
    <m/>
  </r>
  <r>
    <x v="92"/>
    <x v="35"/>
    <m/>
    <n v="24"/>
    <m/>
    <m/>
    <m/>
    <m/>
    <m/>
    <m/>
    <m/>
    <m/>
    <m/>
    <m/>
    <m/>
    <n v="0"/>
    <m/>
    <m/>
    <m/>
    <m/>
  </r>
  <r>
    <x v="16"/>
    <x v="36"/>
    <n v="1824"/>
    <n v="80"/>
    <n v="181.11"/>
    <n v="1840"/>
    <n v="197.11"/>
    <n v="0"/>
    <n v="2021.11"/>
    <n v="363.87"/>
    <n v="2384.98"/>
    <s v="DD"/>
    <e v="#DIV/0!"/>
    <m/>
    <e v="#DIV/0!"/>
    <e v="#VALUE!"/>
    <e v="#DIV/0!"/>
    <n v="409.55"/>
    <m/>
    <m/>
  </r>
  <r>
    <x v="16"/>
    <x v="36"/>
    <n v="1040"/>
    <n v="74"/>
    <n v="32.76"/>
    <n v="1702"/>
    <n v="254.76"/>
    <n v="440"/>
    <n v="1734.76"/>
    <n v="323.01"/>
    <n v="2057.77"/>
    <s v="DD"/>
    <e v="#DIV/0!"/>
    <m/>
    <e v="#DIV/0!"/>
    <e v="#VALUE!"/>
    <e v="#DIV/0!"/>
    <m/>
    <m/>
    <m/>
  </r>
  <r>
    <x v="16"/>
    <x v="36"/>
    <n v="1620"/>
    <n v="80"/>
    <n v="508.61"/>
    <n v="2400"/>
    <n v="488.61"/>
    <n v="800"/>
    <n v="2908.61"/>
    <n v="453.14"/>
    <n v="3361.75"/>
    <s v="DD"/>
    <e v="#DIV/0!"/>
    <m/>
    <e v="#DIV/0!"/>
    <e v="#VALUE!"/>
    <e v="#DIV/0!"/>
    <m/>
    <m/>
    <m/>
  </r>
  <r>
    <x v="16"/>
    <x v="36"/>
    <n v="1310"/>
    <n v="80"/>
    <n v="238.67"/>
    <n v="1840"/>
    <n v="328.67"/>
    <n v="440"/>
    <n v="2078.67"/>
    <n v="369.66"/>
    <n v="2448.33"/>
    <s v="DD"/>
    <e v="#DIV/0!"/>
    <m/>
    <e v="#DIV/0!"/>
    <e v="#VALUE!"/>
    <e v="#DIV/0!"/>
    <m/>
    <m/>
    <m/>
  </r>
  <r>
    <x v="16"/>
    <x v="36"/>
    <n v="1151.3"/>
    <n v="80"/>
    <n v="490"/>
    <n v="1840"/>
    <n v="378.7"/>
    <n v="800"/>
    <n v="2330"/>
    <n v="394.95"/>
    <n v="2724.95"/>
    <s v="DD"/>
    <e v="#DIV/0!"/>
    <m/>
    <e v="#DIV/0!"/>
    <e v="#VALUE!"/>
    <e v="#DIV/0!"/>
    <m/>
    <m/>
    <m/>
  </r>
  <r>
    <x v="16"/>
    <x v="36"/>
    <n v="378.7"/>
    <n v="0"/>
    <n v="378.7"/>
    <m/>
    <n v="32.49"/>
    <n v="0"/>
    <n v="411.19"/>
    <n v="41.36"/>
    <n v="452.55"/>
    <s v="DD"/>
    <e v="#DIV/0!"/>
    <m/>
    <e v="#DIV/0!"/>
    <e v="#VALUE!"/>
    <e v="#DIV/0!"/>
    <m/>
    <m/>
    <m/>
  </r>
  <r>
    <x v="16"/>
    <x v="36"/>
    <n v="1658"/>
    <n v="80"/>
    <n v="1075.1600000000001"/>
    <n v="1840"/>
    <n v="495.16"/>
    <n v="762"/>
    <n v="2915.16"/>
    <n v="449.39"/>
    <n v="3364.55"/>
    <s v="DD"/>
    <e v="#DIV/0!"/>
    <m/>
    <e v="#DIV/0!"/>
    <e v="#VALUE!"/>
    <e v="#DIV/0!"/>
    <m/>
    <m/>
    <m/>
  </r>
  <r>
    <x v="16"/>
    <x v="36"/>
    <n v="1440"/>
    <n v="72"/>
    <n v="165.1"/>
    <n v="1440"/>
    <n v="165.1"/>
    <n v="0"/>
    <n v="1605.1"/>
    <n v="296.32"/>
    <n v="1901.42"/>
    <s v="DD"/>
    <e v="#DIV/0!"/>
    <m/>
    <e v="#DIV/0!"/>
    <e v="#VALUE!"/>
    <e v="#DIV/0!"/>
    <m/>
    <m/>
    <m/>
  </r>
  <r>
    <x v="17"/>
    <x v="37"/>
    <n v="620"/>
    <n v="36.5"/>
    <n v="74.260000000000005"/>
    <n v="620"/>
    <n v="74.260000000000005"/>
    <n v="0"/>
    <n v="694.26"/>
    <n v="143.09"/>
    <n v="837.35"/>
    <n v="100147"/>
    <n v="19.02082191780822"/>
    <n v="36.5"/>
    <n v="0"/>
    <n v="0"/>
    <n v="0"/>
    <n v="409.55"/>
    <m/>
    <m/>
  </r>
  <r>
    <x v="18"/>
    <x v="37"/>
    <n v="1555"/>
    <n v="80"/>
    <n v="179.58"/>
    <n v="1555"/>
    <n v="179.58"/>
    <n v="0"/>
    <n v="1734.58"/>
    <n v="335.04"/>
    <n v="2069.62"/>
    <n v="100155"/>
    <n v="17.432964824120603"/>
    <n v="99.5"/>
    <n v="169.97140703517587"/>
    <n v="30.59"/>
    <n v="254.95711055276382"/>
    <m/>
    <m/>
    <m/>
  </r>
  <r>
    <x v="26"/>
    <x v="37"/>
    <n v="1490"/>
    <n v="80"/>
    <n v="177.43"/>
    <n v="1530"/>
    <n v="177.43"/>
    <n v="40"/>
    <n v="1707.43"/>
    <n v="332.31"/>
    <n v="2039.74"/>
    <n v="100158"/>
    <n v="18.971444444444444"/>
    <n v="90"/>
    <n v="94.857222222222219"/>
    <n v="17.07"/>
    <n v="142.28583333333333"/>
    <m/>
    <m/>
    <m/>
  </r>
  <r>
    <x v="20"/>
    <x v="37"/>
    <n v="1389"/>
    <n v="80"/>
    <n v="312.86"/>
    <n v="1589"/>
    <n v="312.86"/>
    <n v="200"/>
    <n v="1901.86"/>
    <n v="351.85"/>
    <n v="2253.71"/>
    <n v="100164"/>
    <n v="20.340748663101607"/>
    <n v="93.5"/>
    <n v="137.30005347593584"/>
    <n v="23.34"/>
    <n v="205.95008021390376"/>
    <m/>
    <m/>
    <m/>
  </r>
  <r>
    <x v="21"/>
    <x v="37"/>
    <n v="629"/>
    <n v="37"/>
    <m/>
    <n v="704.32"/>
    <n v="75.319999999999993"/>
    <n v="0"/>
    <n v="704.32"/>
    <n v="145.11000000000001"/>
    <n v="849.43"/>
    <n v="100169"/>
    <n v="19.035675675675677"/>
    <n v="37"/>
    <n v="0"/>
    <n v="0"/>
    <n v="0"/>
    <m/>
    <m/>
    <m/>
  </r>
  <r>
    <x v="23"/>
    <x v="37"/>
    <n v="1584"/>
    <n v="80"/>
    <n v="311.62"/>
    <n v="1584"/>
    <n v="311.62"/>
    <n v="0"/>
    <n v="1895.62"/>
    <n v="338.19"/>
    <n v="2233.81"/>
    <s v="DD"/>
    <n v="21.541136363636362"/>
    <n v="88"/>
    <n v="86.164545454545447"/>
    <n v="13.79"/>
    <n v="129.24681818181818"/>
    <m/>
    <m/>
    <m/>
  </r>
  <r>
    <x v="24"/>
    <x v="37"/>
    <n v="1656"/>
    <n v="80"/>
    <n v="329.51"/>
    <n v="1656"/>
    <n v="329.51"/>
    <n v="0"/>
    <n v="1985.51"/>
    <n v="344.99"/>
    <n v="2330.5"/>
    <s v="DD"/>
    <n v="21.581630434782607"/>
    <n v="92"/>
    <n v="129.48978260869563"/>
    <n v="20.72"/>
    <n v="194.23467391304345"/>
    <m/>
    <m/>
    <m/>
  </r>
  <r>
    <x v="27"/>
    <x v="37"/>
    <n v="1863"/>
    <n v="80"/>
    <n v="381"/>
    <n v="1862"/>
    <n v="380.96"/>
    <n v="0"/>
    <n v="2243.96"/>
    <n v="369.02"/>
    <n v="2612.98"/>
    <s v="DD"/>
    <n v="21.671497584541061"/>
    <n v="103.5"/>
    <n v="254.64009661835746"/>
    <n v="38.200000000000003"/>
    <n v="381.96014492753619"/>
    <m/>
    <m/>
    <m/>
  </r>
  <r>
    <x v="28"/>
    <x v="37"/>
    <n v="1611"/>
    <n v="80"/>
    <n v="300.33"/>
    <n v="1629"/>
    <n v="318.33"/>
    <n v="0"/>
    <n v="1929.33"/>
    <n v="339.77"/>
    <n v="2269.1"/>
    <s v="DD"/>
    <n v="21.55675977653631"/>
    <n v="89.5"/>
    <n v="102.39460893854748"/>
    <n v="15.36"/>
    <n v="153.59191340782121"/>
    <m/>
    <m/>
    <m/>
  </r>
  <r>
    <x v="29"/>
    <x v="37"/>
    <n v="1836"/>
    <n v="80"/>
    <n v="300"/>
    <n v="1775.44"/>
    <n v="239.44"/>
    <n v="0"/>
    <n v="2075.44"/>
    <n v="353.35"/>
    <n v="2428.79"/>
    <s v="DD"/>
    <n v="19.672417061611373"/>
    <n v="105.5"/>
    <n v="250.82331753554502"/>
    <n v="35.119999999999997"/>
    <n v="376.23497630331752"/>
    <m/>
    <m/>
    <m/>
  </r>
  <r>
    <x v="30"/>
    <x v="37"/>
    <n v="1615"/>
    <n v="80"/>
    <n v="191.25"/>
    <n v="1615"/>
    <n v="191.25"/>
    <n v="0"/>
    <n v="1806.25"/>
    <n v="328.34"/>
    <n v="2134.59"/>
    <s v="DD"/>
    <n v="21.25"/>
    <n v="85"/>
    <n v="53.125"/>
    <n v="7.44"/>
    <n v="79.6875"/>
    <m/>
    <m/>
    <m/>
  </r>
  <r>
    <x v="31"/>
    <x v="37"/>
    <n v="1458"/>
    <n v="49"/>
    <n v="171.24"/>
    <n v="1458"/>
    <n v="171.24"/>
    <n v="0"/>
    <n v="1629.24"/>
    <n v="311.89"/>
    <n v="1941.13"/>
    <s v="DD"/>
    <n v="20.114074074074075"/>
    <n v="81"/>
    <n v="90.513333333333335"/>
    <n v="11.77"/>
    <n v="135.77000000000001"/>
    <m/>
    <m/>
    <m/>
  </r>
  <r>
    <x v="32"/>
    <x v="37"/>
    <n v="1809"/>
    <n v="80"/>
    <n v="233.55"/>
    <n v="1809"/>
    <n v="233.56"/>
    <n v="-0.01"/>
    <n v="2042.55"/>
    <n v="350.3"/>
    <n v="2392.85"/>
    <s v="DD"/>
    <n v="20.323880597014924"/>
    <n v="100.5"/>
    <n v="208.31977611940297"/>
    <n v="27.08"/>
    <n v="312.47966417910447"/>
    <m/>
    <m/>
    <m/>
  </r>
  <r>
    <x v="33"/>
    <x v="37"/>
    <n v="1948"/>
    <n v="80"/>
    <n v="263.87"/>
    <n v="1948"/>
    <n v="263.87"/>
    <n v="0"/>
    <n v="2211.87"/>
    <n v="366.03"/>
    <n v="2577.9"/>
    <s v="DD"/>
    <n v="22.80278350515464"/>
    <n v="97"/>
    <n v="193.82365979381444"/>
    <n v="23.26"/>
    <n v="290.73548969072169"/>
    <m/>
    <m/>
    <m/>
  </r>
  <r>
    <x v="34"/>
    <x v="37"/>
    <n v="2126"/>
    <n v="80"/>
    <n v="309.23"/>
    <n v="2156"/>
    <n v="309.23"/>
    <n v="30"/>
    <n v="2465.23"/>
    <n v="389.55"/>
    <n v="2854.78"/>
    <s v="DD"/>
    <n v="21.720088105726873"/>
    <n v="113.5"/>
    <n v="363.81147577092514"/>
    <n v="43.66"/>
    <n v="545.71721365638768"/>
    <m/>
    <m/>
    <m/>
  </r>
  <r>
    <x v="35"/>
    <x v="37"/>
    <n v="1653"/>
    <n v="59"/>
    <n v="199.54"/>
    <n v="1653"/>
    <n v="199.54"/>
    <n v="0"/>
    <n v="1852.54"/>
    <n v="332.64"/>
    <n v="2185.1799999999998"/>
    <s v="DD"/>
    <n v="19.098350515463917"/>
    <n v="97"/>
    <n v="181.4343298969072"/>
    <n v="19.96"/>
    <n v="272.15149484536079"/>
    <m/>
    <m/>
    <m/>
  </r>
  <r>
    <x v="16"/>
    <x v="38"/>
    <n v="1438"/>
    <n v="80"/>
    <m/>
    <m/>
    <n v="186.7"/>
    <n v="200"/>
    <n v="1824.7"/>
    <n v="344.1"/>
    <n v="2168.8000000000002"/>
    <n v="100149"/>
    <e v="#DIV/0!"/>
    <m/>
    <e v="#DIV/0!"/>
    <e v="#VALUE!"/>
    <e v="#DIV/0!"/>
    <n v="409.55"/>
    <m/>
    <m/>
  </r>
  <r>
    <x v="16"/>
    <x v="38"/>
    <n v="1252"/>
    <n v="80"/>
    <m/>
    <m/>
    <n v="191.34"/>
    <n v="440"/>
    <n v="1883.34"/>
    <n v="350.01"/>
    <n v="2233.35"/>
    <n v="100157"/>
    <e v="#DIV/0!"/>
    <m/>
    <e v="#DIV/0!"/>
    <e v="#VALUE!"/>
    <e v="#DIV/0!"/>
    <m/>
    <m/>
    <m/>
  </r>
  <r>
    <x v="16"/>
    <x v="38"/>
    <n v="1313"/>
    <n v="80"/>
    <m/>
    <m/>
    <n v="503.88"/>
    <n v="604"/>
    <n v="2420.88"/>
    <n v="404.07"/>
    <n v="2824.95"/>
    <s v="DD"/>
    <e v="#DIV/0!"/>
    <m/>
    <e v="#DIV/0!"/>
    <e v="#VALUE!"/>
    <e v="#DIV/0!"/>
    <m/>
    <m/>
    <m/>
  </r>
  <r>
    <x v="16"/>
    <x v="38"/>
    <n v="100"/>
    <n v="5.5"/>
    <m/>
    <m/>
    <n v="11.75"/>
    <n v="0"/>
    <n v="111.75"/>
    <n v="22.28"/>
    <n v="134.03"/>
    <s v="DD"/>
    <e v="#DIV/0!"/>
    <m/>
    <e v="#DIV/0!"/>
    <e v="#VALUE!"/>
    <e v="#DIV/0!"/>
    <m/>
    <m/>
    <m/>
  </r>
  <r>
    <x v="93"/>
    <x v="39"/>
    <m/>
    <n v="12"/>
    <m/>
    <m/>
    <m/>
    <m/>
    <m/>
    <m/>
    <m/>
    <m/>
    <m/>
    <m/>
    <m/>
    <n v="0"/>
    <m/>
    <m/>
    <m/>
    <m/>
  </r>
  <r>
    <x v="94"/>
    <x v="39"/>
    <m/>
    <n v="82"/>
    <m/>
    <m/>
    <m/>
    <m/>
    <m/>
    <m/>
    <m/>
    <m/>
    <m/>
    <m/>
    <m/>
    <n v="0"/>
    <m/>
    <m/>
    <m/>
    <m/>
  </r>
  <r>
    <x v="95"/>
    <x v="39"/>
    <m/>
    <n v="88.5"/>
    <m/>
    <m/>
    <m/>
    <m/>
    <m/>
    <m/>
    <m/>
    <m/>
    <m/>
    <m/>
    <m/>
    <n v="0"/>
    <m/>
    <m/>
    <m/>
    <m/>
  </r>
  <r>
    <x v="96"/>
    <x v="39"/>
    <m/>
    <n v="67.5"/>
    <m/>
    <m/>
    <m/>
    <m/>
    <m/>
    <m/>
    <m/>
    <m/>
    <m/>
    <m/>
    <m/>
    <n v="0"/>
    <m/>
    <m/>
    <m/>
    <m/>
  </r>
  <r>
    <x v="97"/>
    <x v="39"/>
    <m/>
    <n v="79.5"/>
    <m/>
    <m/>
    <m/>
    <m/>
    <m/>
    <m/>
    <m/>
    <m/>
    <m/>
    <m/>
    <m/>
    <n v="0"/>
    <m/>
    <m/>
    <m/>
    <m/>
  </r>
  <r>
    <x v="98"/>
    <x v="39"/>
    <m/>
    <n v="62"/>
    <m/>
    <m/>
    <m/>
    <m/>
    <m/>
    <m/>
    <m/>
    <m/>
    <m/>
    <m/>
    <m/>
    <n v="0"/>
    <m/>
    <m/>
    <m/>
    <m/>
  </r>
  <r>
    <x v="70"/>
    <x v="39"/>
    <m/>
    <n v="97"/>
    <m/>
    <m/>
    <m/>
    <m/>
    <m/>
    <m/>
    <m/>
    <m/>
    <m/>
    <m/>
    <m/>
    <n v="0"/>
    <m/>
    <m/>
    <m/>
    <m/>
  </r>
  <r>
    <x v="71"/>
    <x v="39"/>
    <m/>
    <n v="102.5"/>
    <m/>
    <m/>
    <m/>
    <m/>
    <m/>
    <m/>
    <m/>
    <m/>
    <m/>
    <m/>
    <m/>
    <n v="0"/>
    <m/>
    <m/>
    <m/>
    <m/>
  </r>
  <r>
    <x v="13"/>
    <x v="40"/>
    <n v="720"/>
    <n v="40"/>
    <n v="104.69"/>
    <n v="720"/>
    <n v="104.69"/>
    <n v="0"/>
    <n v="824.69"/>
    <n v="163.22999999999999"/>
    <n v="987.92"/>
    <n v="100109"/>
    <n v="20.617250000000002"/>
    <n v="40"/>
    <n v="0"/>
    <n v="0"/>
    <n v="0"/>
    <n v="409.55"/>
    <m/>
    <m/>
  </r>
  <r>
    <x v="14"/>
    <x v="40"/>
    <n v="1328"/>
    <n v="80"/>
    <n v="341.59"/>
    <n v="1760"/>
    <n v="373.59"/>
    <n v="400"/>
    <n v="2101.59"/>
    <n v="371.96"/>
    <n v="2473.5500000000002"/>
    <n v="100117"/>
    <n v="21.891562500000003"/>
    <n v="96"/>
    <n v="175.13250000000002"/>
    <n v="35.03"/>
    <n v="262.69875000000002"/>
    <m/>
    <m/>
    <m/>
  </r>
  <r>
    <x v="15"/>
    <x v="40"/>
    <n v="1144"/>
    <n v="51"/>
    <n v="374.48"/>
    <n v="1440"/>
    <n v="320.48"/>
    <n v="350"/>
    <n v="1814.48"/>
    <n v="343.08"/>
    <n v="2157.56"/>
    <n v="100123"/>
    <n v="21.861204819277109"/>
    <n v="83"/>
    <n v="120.23662650602409"/>
    <n v="24.05"/>
    <n v="180.35493975903614"/>
    <m/>
    <m/>
    <m/>
  </r>
  <r>
    <x v="16"/>
    <x v="40"/>
    <n v="1136"/>
    <n v="80"/>
    <n v="306.51"/>
    <n v="1440"/>
    <n v="180.51"/>
    <n v="430"/>
    <n v="1746.51"/>
    <n v="336.23"/>
    <n v="2082.7399999999998"/>
    <n v="100132"/>
    <e v="#DIV/0!"/>
    <m/>
    <e v="#DIV/0!"/>
    <e v="#VALUE!"/>
    <e v="#DIV/0!"/>
    <m/>
    <m/>
    <m/>
  </r>
  <r>
    <x v="17"/>
    <x v="40"/>
    <n v="1648"/>
    <n v="80"/>
    <n v="566.75"/>
    <n v="1440"/>
    <n v="358.75"/>
    <n v="0"/>
    <n v="2006.75"/>
    <n v="362.42"/>
    <n v="2369.17"/>
    <n v="100141"/>
    <n v="19.868811881188119"/>
    <n v="101"/>
    <n v="208.62252475247524"/>
    <n v="39.64"/>
    <n v="312.93378712871288"/>
    <m/>
    <m/>
    <m/>
  </r>
  <r>
    <x v="16"/>
    <x v="40"/>
    <n v="1911"/>
    <n v="80"/>
    <n v="210.13"/>
    <n v="1911"/>
    <n v="210.13"/>
    <n v="0"/>
    <n v="2121.13"/>
    <n v="369.79"/>
    <n v="2490.92"/>
    <s v="DD"/>
    <e v="#DIV/0!"/>
    <m/>
    <e v="#DIV/0!"/>
    <e v="#VALUE!"/>
    <e v="#DIV/0!"/>
    <m/>
    <m/>
    <m/>
  </r>
  <r>
    <x v="16"/>
    <x v="40"/>
    <n v="1687"/>
    <n v="0"/>
    <n v="1687"/>
    <m/>
    <n v="315.38"/>
    <n v="0"/>
    <n v="2002.38"/>
    <n v="189.42"/>
    <n v="2191.8000000000002"/>
    <s v="DD"/>
    <e v="#DIV/0!"/>
    <m/>
    <e v="#DIV/0!"/>
    <e v="#VALUE!"/>
    <e v="#DIV/0!"/>
    <m/>
    <m/>
    <m/>
  </r>
  <r>
    <x v="16"/>
    <x v="40"/>
    <n v="2236"/>
    <n v="80"/>
    <n v="1385.3"/>
    <n v="1440"/>
    <n v="589.29999999999995"/>
    <n v="0"/>
    <n v="2825.3"/>
    <n v="427.83"/>
    <n v="3253.13"/>
    <s v="DD"/>
    <e v="#DIV/0!"/>
    <m/>
    <e v="#DIV/0!"/>
    <e v="#VALUE!"/>
    <e v="#DIV/0!"/>
    <m/>
    <m/>
    <m/>
  </r>
  <r>
    <x v="21"/>
    <x v="40"/>
    <n v="1288"/>
    <n v="28"/>
    <n v="554.26"/>
    <n v="1440"/>
    <n v="356.26"/>
    <n v="350"/>
    <n v="1994.26"/>
    <n v="349.19"/>
    <n v="2343.4499999999998"/>
    <s v="DD"/>
    <n v="71.223571428571432"/>
    <n v="28"/>
    <n v="0"/>
    <n v="0"/>
    <n v="0"/>
    <m/>
    <m/>
    <m/>
  </r>
  <r>
    <x v="22"/>
    <x v="40"/>
    <n v="1808"/>
    <n v="80"/>
    <n v="831.76"/>
    <n v="1440"/>
    <n v="423.76"/>
    <n v="40"/>
    <n v="2271.7600000000002"/>
    <n v="375.44"/>
    <n v="2647.2"/>
    <s v="DD"/>
    <n v="25.815454545454546"/>
    <n v="88"/>
    <n v="103.26181818181819"/>
    <n v="16.52"/>
    <n v="154.89272727272729"/>
    <m/>
    <m/>
    <m/>
  </r>
  <r>
    <x v="23"/>
    <x v="40"/>
    <n v="1488"/>
    <n v="80"/>
    <n v="831.76"/>
    <n v="1440"/>
    <n v="423.76"/>
    <n v="360"/>
    <n v="2271.7600000000002"/>
    <n v="371.59"/>
    <n v="2643.35"/>
    <s v="DD"/>
    <n v="25.815454545454546"/>
    <n v="88"/>
    <n v="103.26181818181819"/>
    <n v="16.52"/>
    <n v="154.89272727272729"/>
    <m/>
    <m/>
    <m/>
  </r>
  <r>
    <x v="24"/>
    <x v="40"/>
    <n v="1806"/>
    <n v="36"/>
    <n v="771.84"/>
    <n v="1440"/>
    <n v="405.84"/>
    <n v="0"/>
    <n v="2211.84"/>
    <n v="366.01"/>
    <n v="2577.85"/>
    <s v="DD"/>
    <n v="61.440000000000005"/>
    <n v="36"/>
    <n v="0"/>
    <n v="0"/>
    <n v="0"/>
    <m/>
    <m/>
    <m/>
  </r>
  <r>
    <x v="16"/>
    <x v="40"/>
    <n v="1941"/>
    <n v="80"/>
    <n v="1535.08"/>
    <n v="1440"/>
    <n v="634.08000000000004"/>
    <n v="400"/>
    <n v="2975.08"/>
    <n v="436.93"/>
    <n v="3412.01"/>
    <s v="DD"/>
    <e v="#DIV/0!"/>
    <m/>
    <e v="#DIV/0!"/>
    <e v="#VALUE!"/>
    <e v="#DIV/0!"/>
    <m/>
    <m/>
    <m/>
  </r>
  <r>
    <x v="16"/>
    <x v="40"/>
    <n v="1933"/>
    <n v="80"/>
    <n v="995.81"/>
    <n v="1440"/>
    <n v="472.81"/>
    <n v="30"/>
    <n v="2435.81"/>
    <n v="386.83"/>
    <n v="2822.64"/>
    <s v="DD"/>
    <e v="#DIV/0!"/>
    <m/>
    <e v="#DIV/0!"/>
    <e v="#VALUE!"/>
    <e v="#DIV/0!"/>
    <m/>
    <m/>
    <m/>
  </r>
  <r>
    <x v="29"/>
    <x v="40"/>
    <n v="1877"/>
    <n v="51"/>
    <n v="1138.1500000000001"/>
    <n v="1440"/>
    <n v="331.15"/>
    <n v="370"/>
    <n v="2578.15"/>
    <n v="400.05"/>
    <n v="2978.2"/>
    <s v="DD"/>
    <n v="50.551960784313728"/>
    <n v="51"/>
    <n v="0"/>
    <n v="0"/>
    <n v="0"/>
    <m/>
    <m/>
    <m/>
  </r>
  <r>
    <x v="30"/>
    <x v="40"/>
    <n v="1765"/>
    <n v="80"/>
    <n v="555.16999999999996"/>
    <n v="1440"/>
    <n v="200.17"/>
    <n v="30"/>
    <n v="1995.17"/>
    <n v="345.89"/>
    <n v="2341.06"/>
    <s v="DD"/>
    <n v="23.335321637426901"/>
    <n v="85.5"/>
    <n v="64.172134502923981"/>
    <n v="8.98"/>
    <n v="96.258201754385965"/>
    <m/>
    <m/>
    <m/>
  </r>
  <r>
    <x v="16"/>
    <x v="41"/>
    <n v="2929"/>
    <n v="80"/>
    <m/>
    <m/>
    <n v="288.64"/>
    <n v="0"/>
    <n v="3217.64"/>
    <n v="484.24"/>
    <n v="3701.88"/>
    <s v="DD"/>
    <e v="#DIV/0!"/>
    <n v="0"/>
    <e v="#DIV/0!"/>
    <e v="#VALUE!"/>
    <e v="#DIV/0!"/>
    <n v="409.55"/>
    <m/>
    <m/>
  </r>
  <r>
    <x v="16"/>
    <x v="41"/>
    <n v="1890"/>
    <n v="70"/>
    <m/>
    <m/>
    <n v="423.91"/>
    <n v="0"/>
    <n v="2313.91"/>
    <n v="373.24"/>
    <n v="2687.15"/>
    <s v="DD"/>
    <e v="#DIV/0!"/>
    <m/>
    <e v="#DIV/0!"/>
    <e v="#VALUE!"/>
    <e v="#DIV/0!"/>
    <m/>
    <m/>
    <m/>
  </r>
  <r>
    <x v="16"/>
    <x v="41"/>
    <n v="3051"/>
    <n v="80"/>
    <m/>
    <m/>
    <n v="763.37"/>
    <n v="0"/>
    <n v="3814.37"/>
    <n v="530.19000000000005"/>
    <n v="4344.5600000000004"/>
    <s v="DD"/>
    <e v="#DIV/0!"/>
    <m/>
    <e v="#DIV/0!"/>
    <e v="#VALUE!"/>
    <e v="#DIV/0!"/>
    <m/>
    <m/>
    <m/>
  </r>
  <r>
    <x v="16"/>
    <x v="41"/>
    <n v="2242"/>
    <n v="47"/>
    <m/>
    <m/>
    <n v="501.65"/>
    <n v="0"/>
    <n v="2743.65"/>
    <n v="370.32"/>
    <n v="3113.97"/>
    <s v="DD"/>
    <e v="#DIV/0!"/>
    <m/>
    <e v="#DIV/0!"/>
    <e v="#VALUE!"/>
    <e v="#DIV/0!"/>
    <m/>
    <m/>
    <m/>
  </r>
  <r>
    <x v="16"/>
    <x v="41"/>
    <n v="2095"/>
    <n v="80"/>
    <m/>
    <m/>
    <n v="268.82"/>
    <n v="500"/>
    <n v="2863.82"/>
    <n v="448.63"/>
    <n v="3312.45"/>
    <n v="100135"/>
    <e v="#DIV/0!"/>
    <m/>
    <e v="#DIV/0!"/>
    <e v="#VALUE!"/>
    <e v="#DIV/0!"/>
    <m/>
    <m/>
    <m/>
  </r>
  <r>
    <x v="16"/>
    <x v="41"/>
    <n v="2980"/>
    <n v="80"/>
    <m/>
    <m/>
    <n v="948.28"/>
    <n v="500"/>
    <n v="4428.28"/>
    <n v="587.83000000000004"/>
    <n v="5016.1099999999997"/>
    <n v="100143"/>
    <e v="#DIV/0!"/>
    <m/>
    <e v="#DIV/0!"/>
    <e v="#VALUE!"/>
    <e v="#DIV/0!"/>
    <m/>
    <m/>
    <m/>
  </r>
  <r>
    <x v="16"/>
    <x v="41"/>
    <n v="2943"/>
    <n v="80"/>
    <m/>
    <m/>
    <n v="298.68"/>
    <n v="0"/>
    <n v="3241.68"/>
    <n v="467.2"/>
    <n v="3708.88"/>
    <s v="DD"/>
    <e v="#DIV/0!"/>
    <m/>
    <e v="#DIV/0!"/>
    <e v="#VALUE!"/>
    <e v="#DIV/0!"/>
    <m/>
    <m/>
    <m/>
  </r>
  <r>
    <x v="16"/>
    <x v="41"/>
    <n v="3088"/>
    <n v="80"/>
    <m/>
    <m/>
    <n v="354.04"/>
    <n v="500"/>
    <n v="3942.04"/>
    <n v="533.46"/>
    <n v="4475.5"/>
    <n v="100163"/>
    <e v="#DIV/0!"/>
    <m/>
    <e v="#DIV/0!"/>
    <e v="#VALUE!"/>
    <e v="#DIV/0!"/>
    <m/>
    <m/>
    <m/>
  </r>
  <r>
    <x v="16"/>
    <x v="41"/>
    <n v="3074"/>
    <n v="80"/>
    <m/>
    <m/>
    <n v="775.06"/>
    <n v="0"/>
    <n v="3849.06"/>
    <n v="524.66"/>
    <n v="4373.72"/>
    <s v="DD"/>
    <e v="#DIV/0!"/>
    <m/>
    <e v="#DIV/0!"/>
    <e v="#VALUE!"/>
    <e v="#DIV/0!"/>
    <m/>
    <m/>
    <m/>
  </r>
  <r>
    <x v="16"/>
    <x v="41"/>
    <n v="3080"/>
    <n v="80"/>
    <m/>
    <m/>
    <n v="777.63"/>
    <n v="0"/>
    <n v="3857.63"/>
    <n v="525.47"/>
    <n v="4383.1000000000004"/>
    <s v="DD"/>
    <e v="#DIV/0!"/>
    <m/>
    <e v="#DIV/0!"/>
    <e v="#VALUE!"/>
    <e v="#DIV/0!"/>
    <m/>
    <m/>
    <m/>
  </r>
  <r>
    <x v="16"/>
    <x v="41"/>
    <n v="3088"/>
    <n v="80"/>
    <m/>
    <m/>
    <n v="781.03"/>
    <n v="0"/>
    <n v="3869.03"/>
    <n v="526.54999999999995"/>
    <n v="4395.58"/>
    <s v="DD"/>
    <e v="#DIV/0!"/>
    <m/>
    <e v="#DIV/0!"/>
    <e v="#VALUE!"/>
    <e v="#DIV/0!"/>
    <m/>
    <m/>
    <m/>
  </r>
  <r>
    <x v="16"/>
    <x v="41"/>
    <n v="2184"/>
    <n v="80"/>
    <m/>
    <m/>
    <n v="618.45000000000005"/>
    <n v="440"/>
    <n v="3242.45"/>
    <n v="461.77"/>
    <n v="3704.22"/>
    <s v="DD"/>
    <e v="#DIV/0!"/>
    <m/>
    <e v="#DIV/0!"/>
    <e v="#VALUE!"/>
    <e v="#DIV/0!"/>
    <m/>
    <m/>
    <m/>
  </r>
  <r>
    <x v="16"/>
    <x v="41"/>
    <n v="2508"/>
    <n v="80"/>
    <m/>
    <m/>
    <n v="589.63"/>
    <n v="0"/>
    <n v="3097.63"/>
    <n v="448.31"/>
    <n v="3545.94"/>
    <s v="DD"/>
    <e v="#DIV/0!"/>
    <m/>
    <e v="#DIV/0!"/>
    <e v="#VALUE!"/>
    <e v="#DIV/0!"/>
    <m/>
    <m/>
    <m/>
  </r>
  <r>
    <x v="16"/>
    <x v="41"/>
    <n v="2054"/>
    <n v="80"/>
    <m/>
    <m/>
    <n v="586.14"/>
    <n v="440"/>
    <n v="3080.14"/>
    <n v="446.69"/>
    <n v="3526.83"/>
    <s v="DD"/>
    <e v="#DIV/0!"/>
    <m/>
    <e v="#DIV/0!"/>
    <e v="#VALUE!"/>
    <e v="#DIV/0!"/>
    <m/>
    <m/>
    <m/>
  </r>
  <r>
    <x v="16"/>
    <x v="41"/>
    <n v="2581"/>
    <n v="80"/>
    <m/>
    <m/>
    <n v="607.77"/>
    <n v="0"/>
    <n v="3188.77"/>
    <n v="456.77"/>
    <n v="3645.54"/>
    <s v="DD"/>
    <e v="#DIV/0!"/>
    <m/>
    <e v="#DIV/0!"/>
    <e v="#VALUE!"/>
    <e v="#DIV/0!"/>
    <m/>
    <m/>
    <m/>
  </r>
  <r>
    <x v="16"/>
    <x v="41"/>
    <n v="3411"/>
    <n v="80"/>
    <m/>
    <m/>
    <n v="734.69"/>
    <n v="460"/>
    <n v="4605.6899999999996"/>
    <n v="588.41"/>
    <n v="5194.1000000000004"/>
    <s v="DD"/>
    <e v="#DIV/0!"/>
    <m/>
    <e v="#DIV/0!"/>
    <e v="#VALUE!"/>
    <e v="#DIV/0!"/>
    <m/>
    <m/>
    <m/>
  </r>
  <r>
    <x v="16"/>
    <x v="41"/>
    <n v="2116"/>
    <n v="74"/>
    <m/>
    <m/>
    <n v="226.84"/>
    <n v="30"/>
    <n v="2372.84"/>
    <n v="368.94"/>
    <n v="2741.78"/>
    <s v="DD"/>
    <e v="#DIV/0!"/>
    <m/>
    <e v="#DIV/0!"/>
    <e v="#VALUE!"/>
    <e v="#DIV/0!"/>
    <m/>
    <m/>
    <m/>
  </r>
  <r>
    <x v="16"/>
    <x v="41"/>
    <n v="1921"/>
    <n v="68"/>
    <m/>
    <m/>
    <n v="264.38"/>
    <n v="65"/>
    <n v="2250.38"/>
    <n v="331.85"/>
    <n v="2582.23"/>
    <s v="DD"/>
    <e v="#DIV/0!"/>
    <m/>
    <e v="#DIV/0!"/>
    <e v="#VALUE!"/>
    <e v="#DIV/0!"/>
    <m/>
    <m/>
    <m/>
  </r>
  <r>
    <x v="16"/>
    <x v="41"/>
    <n v="2584"/>
    <n v="80"/>
    <m/>
    <m/>
    <n v="536.64"/>
    <n v="489.92"/>
    <n v="3610.56"/>
    <n v="436.75"/>
    <n v="4047.31"/>
    <s v="DD"/>
    <e v="#DIV/0!"/>
    <m/>
    <e v="#DIV/0!"/>
    <e v="#VALUE!"/>
    <e v="#DIV/0!"/>
    <m/>
    <m/>
    <m/>
  </r>
  <r>
    <x v="16"/>
    <x v="41"/>
    <n v="2748"/>
    <n v="80"/>
    <m/>
    <m/>
    <n v="468.07"/>
    <n v="50"/>
    <n v="3266.07"/>
    <n v="410.39"/>
    <n v="3676.46"/>
    <s v="DD"/>
    <e v="#DIV/0!"/>
    <m/>
    <e v="#DIV/0!"/>
    <e v="#VALUE!"/>
    <e v="#DIV/0!"/>
    <m/>
    <m/>
    <m/>
  </r>
  <r>
    <x v="16"/>
    <x v="41"/>
    <n v="2961"/>
    <n v="80"/>
    <m/>
    <m/>
    <n v="630.35"/>
    <n v="490"/>
    <n v="4081.35"/>
    <n v="472.77"/>
    <n v="4554.12"/>
    <s v="DD"/>
    <e v="#DIV/0!"/>
    <m/>
    <e v="#DIV/0!"/>
    <e v="#VALUE!"/>
    <e v="#DIV/0!"/>
    <m/>
    <m/>
    <m/>
  </r>
  <r>
    <x v="16"/>
    <x v="41"/>
    <n v="2726"/>
    <n v="80"/>
    <m/>
    <m/>
    <n v="450.19"/>
    <n v="0"/>
    <n v="3176.19"/>
    <n v="403.52"/>
    <n v="3579.71"/>
    <s v="DD"/>
    <e v="#DIV/0!"/>
    <m/>
    <e v="#DIV/0!"/>
    <e v="#VALUE!"/>
    <e v="#DIV/0!"/>
    <m/>
    <m/>
    <m/>
  </r>
  <r>
    <x v="16"/>
    <x v="41"/>
    <n v="2982"/>
    <n v="80"/>
    <m/>
    <m/>
    <n v="623.12"/>
    <n v="440"/>
    <n v="4045.12"/>
    <n v="469.99"/>
    <n v="4515.1099999999997"/>
    <s v="DD"/>
    <e v="#DIV/0!"/>
    <m/>
    <e v="#DIV/0!"/>
    <e v="#VALUE!"/>
    <e v="#DIV/0!"/>
    <m/>
    <m/>
    <m/>
  </r>
  <r>
    <x v="38"/>
    <x v="41"/>
    <n v="3409"/>
    <n v="80"/>
    <m/>
    <m/>
    <n v="644.75"/>
    <n v="100"/>
    <n v="4153.75"/>
    <n v="478.3"/>
    <n v="4632.05"/>
    <s v="DD"/>
    <n v="0"/>
    <n v="121"/>
    <n v="0"/>
    <n v="0"/>
    <n v="0"/>
    <m/>
    <m/>
    <m/>
  </r>
  <r>
    <x v="16"/>
    <x v="41"/>
    <n v="2715"/>
    <n v="80"/>
    <m/>
    <m/>
    <n v="457.4"/>
    <n v="40"/>
    <n v="3212.4"/>
    <n v="406.29"/>
    <n v="3618.69"/>
    <s v="DD"/>
    <e v="#DIV/0!"/>
    <m/>
    <e v="#DIV/0!"/>
    <e v="#VALUE!"/>
    <e v="#DIV/0!"/>
    <m/>
    <m/>
    <m/>
  </r>
  <r>
    <x v="16"/>
    <x v="41"/>
    <n v="2262"/>
    <n v="80"/>
    <m/>
    <m/>
    <n v="334.87"/>
    <n v="0"/>
    <n v="2596.87"/>
    <n v="359.19"/>
    <n v="2956.06"/>
    <s v="DD"/>
    <e v="#DIV/0!"/>
    <m/>
    <e v="#DIV/0!"/>
    <e v="#VALUE!"/>
    <e v="#DIV/0!"/>
    <m/>
    <m/>
    <m/>
  </r>
  <r>
    <x v="16"/>
    <x v="41"/>
    <n v="158"/>
    <n v="0"/>
    <m/>
    <m/>
    <n v="0"/>
    <n v="0"/>
    <n v="158"/>
    <n v="0"/>
    <n v="158"/>
    <s v="DD"/>
    <e v="#DIV/0!"/>
    <m/>
    <e v="#DIV/0!"/>
    <e v="#VALUE!"/>
    <e v="#DIV/0!"/>
    <m/>
    <m/>
    <m/>
  </r>
  <r>
    <x v="16"/>
    <x v="42"/>
    <n v="575"/>
    <n v="23"/>
    <m/>
    <n v="575"/>
    <n v="55.12"/>
    <n v="0"/>
    <n v="630.12"/>
    <n v="89.2"/>
    <n v="719.32"/>
    <n v="100199"/>
    <n v="25"/>
    <n v="23"/>
    <n v="0"/>
    <e v="#VALUE!"/>
    <n v="0"/>
    <n v="409.55"/>
    <m/>
    <m/>
  </r>
  <r>
    <x v="16"/>
    <x v="42"/>
    <n v="1977"/>
    <n v="45.5"/>
    <m/>
    <n v="2112"/>
    <n v="282.98"/>
    <n v="135"/>
    <n v="2394.98"/>
    <n v="321.27999999999997"/>
    <n v="2716.26"/>
    <n v="100203"/>
    <n v="24.994082840236686"/>
    <n v="84.5"/>
    <n v="68.73372781065089"/>
    <e v="#VALUE!"/>
    <n v="103.10059171597634"/>
    <m/>
    <m/>
    <m/>
  </r>
  <r>
    <x v="75"/>
    <x v="42"/>
    <m/>
    <n v="13.5"/>
    <m/>
    <m/>
    <m/>
    <m/>
    <m/>
    <m/>
    <m/>
    <m/>
    <m/>
    <m/>
    <m/>
    <n v="0"/>
    <m/>
    <m/>
    <m/>
    <m/>
  </r>
  <r>
    <x v="50"/>
    <x v="42"/>
    <n v="1991.09"/>
    <n v="42.5"/>
    <m/>
    <n v="2344.13"/>
    <n v="353.04"/>
    <n v="0"/>
    <n v="2344.13"/>
    <n v="346.36"/>
    <n v="2690.49"/>
    <n v="100206"/>
    <n v="28.76233128834356"/>
    <n v="81.5"/>
    <n v="35.952914110429447"/>
    <n v="1.8"/>
    <n v="53.92937116564417"/>
    <m/>
    <m/>
    <m/>
  </r>
  <r>
    <x v="99"/>
    <x v="42"/>
    <n v="1033.07"/>
    <n v="16"/>
    <m/>
    <n v="1140"/>
    <n v="106.93"/>
    <n v="0"/>
    <n v="1140"/>
    <n v="168.96"/>
    <n v="1308.96"/>
    <n v="100209"/>
    <n v="71.25"/>
    <n v="16"/>
    <n v="0"/>
    <n v="0"/>
    <n v="0"/>
    <m/>
    <m/>
    <m/>
  </r>
  <r>
    <x v="16"/>
    <x v="42"/>
    <n v="500"/>
    <n v="19.36"/>
    <m/>
    <n v="551.76"/>
    <n v="51.76"/>
    <n v="0"/>
    <n v="551.76"/>
    <n v="81.59"/>
    <n v="633.35"/>
    <n v="100212"/>
    <e v="#DIV/0!"/>
    <m/>
    <e v="#DIV/0!"/>
    <e v="#VALUE!"/>
    <e v="#DIV/0!"/>
    <m/>
    <m/>
    <m/>
  </r>
  <r>
    <x v="16"/>
    <x v="42"/>
    <n v="700.04"/>
    <n v="55"/>
    <m/>
    <n v="772.49"/>
    <n v="72.45"/>
    <n v="0"/>
    <n v="772.49"/>
    <n v="111.25"/>
    <n v="883.74"/>
    <n v="100216"/>
    <e v="#DIV/0!"/>
    <m/>
    <e v="#DIV/0!"/>
    <e v="#VALUE!"/>
    <e v="#DIV/0!"/>
    <m/>
    <m/>
    <m/>
  </r>
  <r>
    <x v="100"/>
    <x v="42"/>
    <n v="1407.54"/>
    <n v="55"/>
    <m/>
    <n v="1553.25"/>
    <n v="145.71"/>
    <n v="0"/>
    <n v="1553.25"/>
    <n v="220.39"/>
    <n v="1773.64"/>
    <n v="100219"/>
    <n v="28.240909090909092"/>
    <n v="55"/>
    <n v="0"/>
    <n v="0"/>
    <n v="0"/>
    <m/>
    <m/>
    <m/>
  </r>
  <r>
    <x v="101"/>
    <x v="42"/>
    <n v="3258.7"/>
    <n v="80"/>
    <m/>
    <n v="3731.46"/>
    <n v="472.76"/>
    <n v="0"/>
    <n v="3731.46"/>
    <n v="475.45"/>
    <n v="4206.91"/>
    <n v="100222"/>
    <n v="33.768868778280542"/>
    <n v="110.5"/>
    <n v="514.97524886877829"/>
    <n v="10.3"/>
    <n v="772.4628733031675"/>
    <m/>
    <m/>
    <m/>
  </r>
  <r>
    <x v="78"/>
    <x v="42"/>
    <m/>
    <n v="67"/>
    <m/>
    <m/>
    <m/>
    <m/>
    <m/>
    <m/>
    <m/>
    <m/>
    <m/>
    <m/>
    <m/>
    <m/>
    <m/>
    <m/>
    <m/>
    <m/>
  </r>
  <r>
    <x v="82"/>
    <x v="42"/>
    <m/>
    <n v="94.5"/>
    <m/>
    <m/>
    <m/>
    <m/>
    <m/>
    <m/>
    <m/>
    <m/>
    <m/>
    <m/>
    <m/>
    <n v="0"/>
    <m/>
    <m/>
    <m/>
    <m/>
  </r>
  <r>
    <x v="79"/>
    <x v="42"/>
    <m/>
    <n v="77"/>
    <m/>
    <m/>
    <m/>
    <m/>
    <m/>
    <m/>
    <m/>
    <m/>
    <m/>
    <m/>
    <m/>
    <n v="0"/>
    <m/>
    <m/>
    <m/>
    <m/>
  </r>
  <r>
    <x v="16"/>
    <x v="43"/>
    <n v="2632"/>
    <n v="80"/>
    <n v="256.02999999999997"/>
    <n v="2640"/>
    <n v="264.02999999999997"/>
    <n v="0"/>
    <n v="2896.03"/>
    <n v="451.88"/>
    <n v="3347.91"/>
    <n v="100101"/>
    <e v="#DIV/0!"/>
    <m/>
    <e v="#DIV/0!"/>
    <e v="#VALUE!"/>
    <e v="#DIV/0!"/>
    <n v="409.55"/>
    <m/>
    <m/>
  </r>
  <r>
    <x v="16"/>
    <x v="43"/>
    <n v="1265"/>
    <n v="77.5"/>
    <n v="2.1"/>
    <n v="2015"/>
    <n v="312.10000000000002"/>
    <n v="440"/>
    <n v="2017.1"/>
    <n v="358.44"/>
    <n v="2375.54"/>
    <n v="100104"/>
    <e v="#DIV/0!"/>
    <m/>
    <e v="#DIV/0!"/>
    <e v="#VALUE!"/>
    <e v="#DIV/0!"/>
    <m/>
    <m/>
    <m/>
  </r>
  <r>
    <x v="16"/>
    <x v="43"/>
    <n v="1884"/>
    <n v="80"/>
    <n v="757.18"/>
    <n v="2480"/>
    <n v="553.17999999999995"/>
    <n v="800"/>
    <n v="3237.18"/>
    <n v="479.3"/>
    <n v="3716.48"/>
    <n v="100118"/>
    <e v="#DIV/0!"/>
    <m/>
    <e v="#DIV/0!"/>
    <e v="#VALUE!"/>
    <e v="#DIV/0!"/>
    <m/>
    <m/>
    <m/>
  </r>
  <r>
    <x v="16"/>
    <x v="43"/>
    <n v="1639"/>
    <n v="80"/>
    <n v="689.42"/>
    <n v="1800"/>
    <n v="410.42"/>
    <n v="440"/>
    <n v="2489.42"/>
    <n v="410.98"/>
    <n v="2900.4"/>
    <n v="100125"/>
    <e v="#DIV/0!"/>
    <m/>
    <e v="#DIV/0!"/>
    <e v="#VALUE!"/>
    <e v="#DIV/0!"/>
    <m/>
    <m/>
    <m/>
  </r>
  <r>
    <x v="16"/>
    <x v="43"/>
    <n v="1796"/>
    <n v="80"/>
    <n v="1064.92"/>
    <n v="1800"/>
    <n v="268.92"/>
    <n v="800"/>
    <n v="2864.92"/>
    <n v="448.75"/>
    <n v="3313.67"/>
    <n v="100133"/>
    <e v="#DIV/0!"/>
    <m/>
    <e v="#DIV/0!"/>
    <e v="#VALUE!"/>
    <e v="#DIV/0!"/>
    <m/>
    <m/>
    <m/>
  </r>
  <r>
    <x v="16"/>
    <x v="43"/>
    <n v="2871"/>
    <n v="80"/>
    <n v="1678.23"/>
    <n v="1800"/>
    <n v="607.23"/>
    <n v="0"/>
    <n v="3478.23"/>
    <n v="499.45"/>
    <n v="3977.68"/>
    <n v="100145"/>
    <e v="#DIV/0!"/>
    <m/>
    <e v="#DIV/0!"/>
    <e v="#VALUE!"/>
    <e v="#DIV/0!"/>
    <m/>
    <m/>
    <m/>
  </r>
  <r>
    <x v="16"/>
    <x v="43"/>
    <n v="2409"/>
    <n v="80"/>
    <n v="252.87"/>
    <n v="2409"/>
    <n v="252.87"/>
    <n v="0"/>
    <n v="2661.87"/>
    <n v="412.36"/>
    <n v="3074.23"/>
    <n v="100153"/>
    <e v="#DIV/0!"/>
    <m/>
    <e v="#DIV/0!"/>
    <e v="#VALUE!"/>
    <e v="#DIV/0!"/>
    <m/>
    <m/>
    <m/>
  </r>
  <r>
    <x v="16"/>
    <x v="43"/>
    <n v="2145"/>
    <n v="80"/>
    <n v="1052.97"/>
    <n v="1800"/>
    <n v="267.97000000000003"/>
    <n v="440"/>
    <n v="2852.97"/>
    <n v="430.43"/>
    <n v="3283.4"/>
    <n v="100165"/>
    <e v="#DIV/0!"/>
    <m/>
    <e v="#DIV/0!"/>
    <e v="#VALUE!"/>
    <e v="#DIV/0!"/>
    <m/>
    <m/>
    <m/>
  </r>
  <r>
    <x v="16"/>
    <x v="43"/>
    <n v="2750"/>
    <n v="80"/>
    <n v="1527.16"/>
    <n v="1800"/>
    <n v="577.16"/>
    <n v="0"/>
    <n v="3327.16"/>
    <n v="475.28"/>
    <n v="3802.44"/>
    <n v="100166"/>
    <e v="#DIV/0!"/>
    <m/>
    <e v="#DIV/0!"/>
    <e v="#VALUE!"/>
    <e v="#DIV/0!"/>
    <m/>
    <m/>
    <m/>
  </r>
  <r>
    <x v="16"/>
    <x v="43"/>
    <n v="2024"/>
    <n v="80"/>
    <n v="1170.0999999999999"/>
    <n v="1800"/>
    <n v="506.1"/>
    <n v="440"/>
    <n v="2970.1"/>
    <n v="441.52"/>
    <n v="3411.62"/>
    <n v="100171"/>
    <e v="#DIV/0!"/>
    <m/>
    <e v="#DIV/0!"/>
    <e v="#VALUE!"/>
    <e v="#DIV/0!"/>
    <m/>
    <m/>
    <m/>
  </r>
  <r>
    <x v="16"/>
    <x v="43"/>
    <n v="2024"/>
    <n v="80"/>
    <n v="620.76"/>
    <n v="1800"/>
    <n v="396.76"/>
    <n v="0"/>
    <n v="2420.7600000000002"/>
    <n v="389.54"/>
    <n v="2810.3"/>
    <s v="DD"/>
    <e v="#DIV/0!"/>
    <m/>
    <e v="#DIV/0!"/>
    <e v="#VALUE!"/>
    <e v="#DIV/0!"/>
    <m/>
    <m/>
    <m/>
  </r>
  <r>
    <x v="16"/>
    <x v="43"/>
    <n v="550"/>
    <n v="25"/>
    <n v="49.12"/>
    <n v="562.5"/>
    <n v="61.62"/>
    <n v="0"/>
    <n v="611.62"/>
    <n v="108.03"/>
    <n v="719.65"/>
    <n v="100174"/>
    <e v="#DIV/0!"/>
    <m/>
    <e v="#DIV/0!"/>
    <e v="#VALUE!"/>
    <e v="#DIV/0!"/>
    <m/>
    <m/>
    <m/>
  </r>
  <r>
    <x v="16"/>
    <x v="43"/>
    <n v="1576"/>
    <n v="80"/>
    <n v="610.75"/>
    <n v="1800"/>
    <n v="394.75"/>
    <n v="440"/>
    <n v="2410.75"/>
    <n v="384.49"/>
    <n v="2795.24"/>
    <s v="DD"/>
    <e v="#DIV/0!"/>
    <m/>
    <e v="#DIV/0!"/>
    <e v="#VALUE!"/>
    <e v="#DIV/0!"/>
    <m/>
    <m/>
    <m/>
  </r>
  <r>
    <x v="16"/>
    <x v="43"/>
    <n v="2142"/>
    <n v="80"/>
    <n v="768.08"/>
    <n v="1800"/>
    <n v="426.08"/>
    <n v="0"/>
    <n v="2568.08"/>
    <n v="399.11"/>
    <n v="2967.19"/>
    <s v="DD"/>
    <e v="#DIV/0!"/>
    <m/>
    <e v="#DIV/0!"/>
    <e v="#VALUE!"/>
    <e v="#DIV/0!"/>
    <m/>
    <m/>
    <m/>
  </r>
  <r>
    <x v="16"/>
    <x v="43"/>
    <n v="1925"/>
    <n v="80"/>
    <n v="1046.49"/>
    <n v="1800"/>
    <n v="481.49"/>
    <n v="440"/>
    <n v="2846.49"/>
    <n v="424.98"/>
    <n v="3271.47"/>
    <s v="DD"/>
    <e v="#DIV/0!"/>
    <m/>
    <e v="#DIV/0!"/>
    <e v="#VALUE!"/>
    <e v="#DIV/0!"/>
    <m/>
    <m/>
    <m/>
  </r>
  <r>
    <x v="16"/>
    <x v="43"/>
    <n v="1121"/>
    <n v="80"/>
    <n v="304.89999999999998"/>
    <n v="1800"/>
    <n v="333.9"/>
    <n v="650"/>
    <n v="2104.9"/>
    <n v="356.09"/>
    <n v="2460.9899999999998"/>
    <s v="DD"/>
    <e v="#DIV/0!"/>
    <m/>
    <e v="#DIV/0!"/>
    <e v="#VALUE!"/>
    <e v="#DIV/0!"/>
    <m/>
    <m/>
    <m/>
  </r>
  <r>
    <x v="29"/>
    <x v="43"/>
    <n v="1506"/>
    <n v="64.5"/>
    <n v="1213.8900000000001"/>
    <n v="1800"/>
    <n v="417.89"/>
    <n v="1090"/>
    <n v="3013.89"/>
    <n v="440.53"/>
    <n v="3454.42"/>
    <s v="DD"/>
    <n v="40.728243243243249"/>
    <n v="74"/>
    <n v="498.92097972972982"/>
    <n v="69.849999999999994"/>
    <n v="748.38146959459471"/>
    <m/>
    <m/>
    <m/>
  </r>
  <r>
    <x v="30"/>
    <x v="43"/>
    <n v="4843"/>
    <n v="80"/>
    <n v="790.18"/>
    <n v="1800"/>
    <n v="247.18"/>
    <n v="0"/>
    <n v="5090.18"/>
    <n v="401.16"/>
    <n v="5491.34"/>
    <s v="DD"/>
    <n v="24.320938967136147"/>
    <n v="106.5"/>
    <n v="322.25244131455395"/>
    <n v="45.12"/>
    <n v="483.37866197183092"/>
    <m/>
    <m/>
    <m/>
  </r>
  <r>
    <x v="31"/>
    <x v="43"/>
    <n v="2002"/>
    <n v="80"/>
    <n v="275.64999999999998"/>
    <n v="2002"/>
    <n v="275.64999999999998"/>
    <n v="0"/>
    <n v="2277.65"/>
    <n v="372.15"/>
    <n v="2649.8"/>
    <s v="DD"/>
    <n v="25.029120879120882"/>
    <n v="91"/>
    <n v="137.66016483516484"/>
    <n v="17.899999999999999"/>
    <n v="206.49024725274725"/>
    <m/>
    <m/>
    <m/>
  </r>
  <r>
    <x v="32"/>
    <x v="43"/>
    <n v="198"/>
    <n v="49"/>
    <n v="120.69"/>
    <n v="1078"/>
    <n v="120.76"/>
    <n v="879.93"/>
    <n v="1198.69"/>
    <n v="209.69"/>
    <n v="1408.38"/>
    <s v="DD"/>
    <n v="16"/>
    <n v="123"/>
    <n v="344"/>
    <n v="44.72"/>
    <n v="516"/>
    <m/>
    <m/>
    <m/>
  </r>
  <r>
    <x v="33"/>
    <x v="43"/>
    <n v="1762"/>
    <n v="80"/>
    <n v="443.75"/>
    <n v="2962"/>
    <n v="409.43"/>
    <n v="800"/>
    <n v="2971.43"/>
    <n v="436.57"/>
    <n v="3408"/>
    <s v="DD"/>
    <n v="27.689024390243901"/>
    <n v="123"/>
    <n v="595.31402439024384"/>
    <n v="71.44"/>
    <n v="892.97103658536571"/>
    <m/>
    <m/>
    <m/>
  </r>
  <r>
    <x v="34"/>
    <x v="43"/>
    <n v="2160"/>
    <n v="80"/>
    <n v="617.57000000000005"/>
    <n v="3400"/>
    <n v="617.66999999999996"/>
    <n v="1240"/>
    <n v="4017.67"/>
    <n v="528.69000000000005"/>
    <n v="4546.3599999999997"/>
    <s v="DD"/>
    <n v="26.963557046979865"/>
    <n v="149"/>
    <n v="930.24271812080531"/>
    <n v="111.63"/>
    <n v="1395.3640771812079"/>
    <m/>
    <m/>
    <m/>
  </r>
  <r>
    <x v="35"/>
    <x v="43"/>
    <n v="1509"/>
    <n v="80"/>
    <n v="371.41"/>
    <n v="2409"/>
    <n v="371.41"/>
    <n v="900"/>
    <n v="2780.41"/>
    <n v="373.24"/>
    <n v="3153.65"/>
    <s v="DD"/>
    <n v="25.864279069767441"/>
    <n v="107.5"/>
    <n v="355.63383720930233"/>
    <n v="39.119999999999997"/>
    <n v="533.45075581395349"/>
    <m/>
    <m/>
    <m/>
  </r>
  <r>
    <x v="37"/>
    <x v="43"/>
    <n v="3171"/>
    <n v="80"/>
    <n v="670.09"/>
    <n v="3611"/>
    <n v="670.09"/>
    <n v="440"/>
    <n v="4281.09"/>
    <n v="488.04"/>
    <n v="4769.13"/>
    <s v="DD"/>
    <n v="27.980980392156862"/>
    <n v="153"/>
    <n v="1021.3057843137254"/>
    <n v="112.34"/>
    <n v="1531.9586764705882"/>
    <m/>
    <m/>
    <m/>
  </r>
  <r>
    <x v="38"/>
    <x v="43"/>
    <n v="3749"/>
    <n v="80"/>
    <n v="704.4"/>
    <n v="3749"/>
    <n v="704.4"/>
    <n v="0"/>
    <n v="4453.3999999999996"/>
    <n v="501.23"/>
    <n v="4954.63"/>
    <s v="DD"/>
    <n v="27.921003134796237"/>
    <n v="159.5"/>
    <n v="1109.8598746081504"/>
    <n v="110.99"/>
    <n v="1664.7898119122256"/>
    <m/>
    <m/>
    <m/>
  </r>
  <r>
    <x v="39"/>
    <x v="43"/>
    <n v="2541"/>
    <n v="80"/>
    <n v="404.21"/>
    <n v="2541"/>
    <n v="404.21"/>
    <n v="0"/>
    <n v="2945.21"/>
    <n v="385.85"/>
    <n v="3331.06"/>
    <s v="DD"/>
    <n v="26.653484162895928"/>
    <n v="110.5"/>
    <n v="406.46563348416294"/>
    <n v="40.65"/>
    <n v="609.6984502262444"/>
    <m/>
    <m/>
    <m/>
  </r>
  <r>
    <x v="40"/>
    <x v="43"/>
    <n v="829"/>
    <n v="80"/>
    <n v="117.26"/>
    <n v="829"/>
    <n v="117.26"/>
    <n v="0"/>
    <n v="946.26"/>
    <n v="232.92"/>
    <n v="1179.18"/>
    <s v="DD"/>
    <n v="16"/>
    <n v="136.5"/>
    <n v="452"/>
    <n v="40.68"/>
    <n v="678"/>
    <m/>
    <m/>
    <m/>
  </r>
  <r>
    <x v="41"/>
    <x v="43"/>
    <n v="3277"/>
    <n v="80"/>
    <n v="587.11"/>
    <n v="3277"/>
    <n v="587.11"/>
    <n v="0"/>
    <n v="3864.11"/>
    <n v="456.15"/>
    <n v="4320.26"/>
    <s v="DD"/>
    <n v="27.502562277580072"/>
    <n v="140.5"/>
    <n v="831.95250889679721"/>
    <n v="74.88"/>
    <n v="1247.9287633451959"/>
    <m/>
    <m/>
    <m/>
  </r>
  <r>
    <x v="42"/>
    <x v="43"/>
    <n v="2438"/>
    <n v="73"/>
    <n v="378.62"/>
    <n v="2438"/>
    <n v="378.62"/>
    <n v="0"/>
    <n v="2816.62"/>
    <n v="376.01"/>
    <n v="3192.63"/>
    <s v="DD"/>
    <n v="26.57188679245283"/>
    <n v="106"/>
    <n v="438.43613207547168"/>
    <n v="39.46"/>
    <n v="657.65419811320749"/>
    <m/>
    <m/>
    <m/>
  </r>
  <r>
    <x v="43"/>
    <x v="43"/>
    <n v="3500"/>
    <n v="80"/>
    <n v="489.95"/>
    <n v="2272"/>
    <n v="489.95"/>
    <n v="0"/>
    <n v="3989.95"/>
    <n v="418.81"/>
    <n v="4408.76"/>
    <s v="DD"/>
    <n v="23.30759493670886"/>
    <n v="118.5"/>
    <n v="448.67120253164558"/>
    <n v="35.89"/>
    <n v="673.00680379746836"/>
    <m/>
    <m/>
    <m/>
  </r>
  <r>
    <x v="44"/>
    <x v="43"/>
    <n v="1937"/>
    <n v="80"/>
    <n v="410.12"/>
    <n v="2587"/>
    <n v="410.12"/>
    <n v="650"/>
    <n v="2997.12"/>
    <n v="456.95"/>
    <n v="3454.07"/>
    <s v="DD"/>
    <n v="26.641066666666667"/>
    <n v="112.5"/>
    <n v="432.91733333333332"/>
    <n v="34.630000000000003"/>
    <n v="649.37599999999998"/>
    <m/>
    <m/>
    <m/>
  </r>
  <r>
    <x v="45"/>
    <x v="43"/>
    <n v="2633"/>
    <n v="80"/>
    <m/>
    <n v="2633"/>
    <n v="337.66"/>
    <n v="0"/>
    <n v="2970.66"/>
    <n v="420.96"/>
    <n v="3391.62"/>
    <s v="DD"/>
    <n v="22.995633187772924"/>
    <n v="114.5"/>
    <n v="396.67467248908292"/>
    <n v="27.77"/>
    <n v="595.01200873362438"/>
    <m/>
    <m/>
    <m/>
  </r>
  <r>
    <x v="46"/>
    <x v="43"/>
    <n v="3307"/>
    <n v="80"/>
    <m/>
    <n v="3307"/>
    <n v="471.8"/>
    <n v="0"/>
    <n v="3778.8"/>
    <n v="475.97"/>
    <n v="4254.7700000000004"/>
    <s v="DD"/>
    <n v="23.537366548042705"/>
    <n v="140.5"/>
    <n v="712.00533807829186"/>
    <n v="49.84"/>
    <n v="1068.0080071174377"/>
    <m/>
    <m/>
    <m/>
  </r>
  <r>
    <x v="47"/>
    <x v="43"/>
    <n v="3197"/>
    <n v="80"/>
    <m/>
    <n v="3197"/>
    <n v="441.09"/>
    <n v="0"/>
    <n v="3638.09"/>
    <n v="409.42"/>
    <n v="4047.51"/>
    <s v="DD"/>
    <n v="23"/>
    <n v="139"/>
    <n v="678.5"/>
    <n v="40.71"/>
    <n v="1017.75"/>
    <m/>
    <m/>
    <m/>
  </r>
  <r>
    <x v="48"/>
    <x v="43"/>
    <n v="3312"/>
    <n v="80"/>
    <m/>
    <n v="3312"/>
    <n v="463.98"/>
    <n v="0"/>
    <n v="3775.98"/>
    <n v="420.11"/>
    <n v="4196.09"/>
    <s v="DD"/>
    <n v="23"/>
    <n v="144"/>
    <n v="736"/>
    <n v="44.16"/>
    <n v="1104"/>
    <m/>
    <m/>
    <m/>
  </r>
  <r>
    <x v="49"/>
    <x v="43"/>
    <n v="2403"/>
    <n v="80"/>
    <m/>
    <n v="2403"/>
    <n v="285.8"/>
    <n v="0"/>
    <n v="2688.8"/>
    <n v="335.66"/>
    <n v="3024.46"/>
    <s v="DD"/>
    <n v="22.995215311004785"/>
    <n v="104.5"/>
    <n v="281.69138755980862"/>
    <n v="14.08"/>
    <n v="422.53708133971293"/>
    <m/>
    <m/>
    <m/>
  </r>
  <r>
    <x v="50"/>
    <x v="43"/>
    <n v="2658.55"/>
    <n v="96"/>
    <m/>
    <n v="2868"/>
    <n v="401.45"/>
    <n v="0"/>
    <n v="3060"/>
    <n v="410.24"/>
    <n v="3470.24"/>
    <s v="DD"/>
    <n v="32.96551724137931"/>
    <n v="87"/>
    <n v="115.37931034482759"/>
    <n v="5.77"/>
    <n v="173.06896551724139"/>
    <m/>
    <m/>
    <m/>
  </r>
  <r>
    <x v="99"/>
    <x v="43"/>
    <n v="1033.07"/>
    <n v="28.5"/>
    <m/>
    <n v="1140"/>
    <n v="106.93"/>
    <n v="0"/>
    <n v="1140"/>
    <n v="162.12"/>
    <n v="1302.1199999999999"/>
    <s v="DD"/>
    <n v="40"/>
    <n v="28.5"/>
    <n v="0"/>
    <n v="0"/>
    <n v="0"/>
    <m/>
    <m/>
    <m/>
  </r>
  <r>
    <x v="16"/>
    <x v="43"/>
    <n v="500"/>
    <n v="19.36"/>
    <m/>
    <n v="551.76"/>
    <n v="51.76"/>
    <n v="0"/>
    <n v="551.76"/>
    <n v="78.28"/>
    <n v="630.04"/>
    <s v="DD"/>
    <e v="#DIV/0!"/>
    <m/>
    <e v="#DIV/0!"/>
    <e v="#VALUE!"/>
    <e v="#DIV/0!"/>
    <m/>
    <m/>
    <m/>
  </r>
  <r>
    <x v="16"/>
    <x v="43"/>
    <n v="700.03"/>
    <n v="27.11"/>
    <m/>
    <n v="772.49"/>
    <n v="72.459999999999994"/>
    <n v="0"/>
    <n v="772.49"/>
    <n v="109.6"/>
    <n v="882.09"/>
    <s v="DD"/>
    <e v="#DIV/0!"/>
    <m/>
    <e v="#DIV/0!"/>
    <e v="#VALUE!"/>
    <e v="#DIV/0!"/>
    <m/>
    <m/>
    <m/>
  </r>
  <r>
    <x v="100"/>
    <x v="43"/>
    <n v="1786.35"/>
    <n v="80"/>
    <m/>
    <n v="2000"/>
    <n v="213.65"/>
    <n v="0"/>
    <n v="2000"/>
    <n v="301.69"/>
    <n v="2301.69"/>
    <s v="DD"/>
    <n v="23.80952380952381"/>
    <n v="84"/>
    <n v="0"/>
    <n v="0"/>
    <n v="0"/>
    <m/>
    <m/>
    <m/>
  </r>
  <r>
    <x v="101"/>
    <x v="43"/>
    <n v="2456.2600000000002"/>
    <n v="86.5"/>
    <m/>
    <n v="2342.88"/>
    <n v="316.62"/>
    <n v="0"/>
    <n v="2772.88"/>
    <n v="356.97"/>
    <n v="3129.85"/>
    <s v="DD"/>
    <n v="27.085317919075145"/>
    <n v="86.5"/>
    <n v="88.027283236994222"/>
    <n v="1.76"/>
    <n v="132.04092485549134"/>
    <m/>
    <m/>
    <m/>
  </r>
  <r>
    <x v="78"/>
    <x v="43"/>
    <m/>
    <n v="107"/>
    <m/>
    <m/>
    <m/>
    <m/>
    <m/>
    <m/>
    <m/>
    <m/>
    <m/>
    <m/>
    <m/>
    <n v="0"/>
    <m/>
    <m/>
    <m/>
    <m/>
  </r>
  <r>
    <x v="82"/>
    <x v="43"/>
    <m/>
    <n v="109.5"/>
    <m/>
    <m/>
    <m/>
    <m/>
    <m/>
    <m/>
    <m/>
    <m/>
    <m/>
    <m/>
    <m/>
    <n v="0"/>
    <m/>
    <m/>
    <m/>
    <m/>
  </r>
  <r>
    <x v="79"/>
    <x v="43"/>
    <m/>
    <n v="106"/>
    <m/>
    <m/>
    <m/>
    <m/>
    <m/>
    <m/>
    <m/>
    <m/>
    <m/>
    <m/>
    <m/>
    <n v="0"/>
    <m/>
    <m/>
    <m/>
    <m/>
  </r>
  <r>
    <x v="43"/>
    <x v="44"/>
    <n v="1760"/>
    <n v="80"/>
    <n v="273.13"/>
    <n v="1810"/>
    <n v="273.13"/>
    <n v="50"/>
    <n v="2083.13"/>
    <n v="366.57"/>
    <n v="2449.6999999999998"/>
    <s v="DD"/>
    <n v="23.018011049723757"/>
    <n v="90.5"/>
    <n v="120.84455801104973"/>
    <n v="9.67"/>
    <n v="181.26683701657458"/>
    <n v="409.55"/>
    <m/>
    <m/>
  </r>
  <r>
    <x v="44"/>
    <x v="44"/>
    <n v="1740"/>
    <n v="49.5"/>
    <n v="254.58"/>
    <n v="1740"/>
    <n v="254.58"/>
    <n v="0"/>
    <n v="1994.58"/>
    <n v="357.8"/>
    <n v="2352.38"/>
    <s v="DD"/>
    <n v="22.926206896551722"/>
    <n v="87"/>
    <n v="108.89948275862068"/>
    <n v="8.7100000000000009"/>
    <n v="163.349224137931"/>
    <m/>
    <m/>
    <m/>
  </r>
  <r>
    <x v="45"/>
    <x v="44"/>
    <n v="1820"/>
    <n v="51.5"/>
    <m/>
    <n v="1920"/>
    <n v="241.23"/>
    <n v="100"/>
    <n v="2161.23"/>
    <n v="350.43"/>
    <n v="2511.66"/>
    <s v="DD"/>
    <n v="22.994011976047904"/>
    <n v="83.5"/>
    <n v="132.21556886227546"/>
    <n v="9.26"/>
    <n v="198.32335329341319"/>
    <m/>
    <m/>
    <m/>
  </r>
  <r>
    <x v="46"/>
    <x v="44"/>
    <n v="1891"/>
    <n v="52"/>
    <m/>
    <n v="1921"/>
    <n v="241.42"/>
    <n v="30"/>
    <n v="2162.42"/>
    <n v="350.53"/>
    <n v="2512.9499999999998"/>
    <s v="DD"/>
    <n v="20.994535519125684"/>
    <n v="91.5"/>
    <n v="125.9672131147541"/>
    <n v="8.82"/>
    <n v="188.95081967213116"/>
    <m/>
    <m/>
    <m/>
  </r>
  <r>
    <x v="47"/>
    <x v="44"/>
    <n v="2045"/>
    <n v="80"/>
    <m/>
    <n v="2095"/>
    <n v="263.73"/>
    <n v="50"/>
    <n v="2358.73"/>
    <n v="314.02999999999997"/>
    <n v="2672.76"/>
    <s v="DD"/>
    <n v="22.05263157894737"/>
    <n v="95"/>
    <n v="165.39473684210526"/>
    <n v="9.92"/>
    <n v="248.09210526315789"/>
    <m/>
    <m/>
    <m/>
  </r>
  <r>
    <x v="48"/>
    <x v="44"/>
    <n v="2071"/>
    <n v="80"/>
    <m/>
    <n v="2121"/>
    <n v="268.39999999999998"/>
    <n v="50"/>
    <n v="2389.4"/>
    <n v="309.45999999999998"/>
    <n v="2698.86"/>
    <s v="DD"/>
    <n v="21"/>
    <n v="101"/>
    <n v="220.5"/>
    <n v="13.23"/>
    <n v="330.75"/>
    <m/>
    <m/>
    <m/>
  </r>
  <r>
    <x v="49"/>
    <x v="44"/>
    <n v="1934"/>
    <n v="45"/>
    <n v="2000"/>
    <n v="1984"/>
    <n v="243.87"/>
    <n v="50"/>
    <n v="2227.87"/>
    <n v="296.74"/>
    <n v="2524.61"/>
    <s v="DD"/>
    <n v="42.158730158730158"/>
    <n v="94.5"/>
    <n v="305.65079365079367"/>
    <n v="15.28"/>
    <n v="458.47619047619048"/>
    <m/>
    <m/>
    <m/>
  </r>
  <r>
    <x v="50"/>
    <x v="44"/>
    <n v="1839.73"/>
    <n v="45"/>
    <m/>
    <n v="2150"/>
    <n v="275.27"/>
    <n v="35"/>
    <n v="2150"/>
    <n v="317.77"/>
    <n v="2467.77"/>
    <s v="DD"/>
    <n v="25.595238095238095"/>
    <n v="84"/>
    <n v="63.988095238095241"/>
    <n v="3.2"/>
    <n v="95.982142857142861"/>
    <m/>
    <m/>
    <m/>
  </r>
  <r>
    <x v="99"/>
    <x v="44"/>
    <n v="904.13"/>
    <n v="24"/>
    <m/>
    <n v="1000"/>
    <n v="95.87"/>
    <n v="0"/>
    <n v="1000"/>
    <n v="149.11000000000001"/>
    <n v="1149.1099999999999"/>
    <s v="DD"/>
    <n v="41.666666666666664"/>
    <n v="24"/>
    <n v="0"/>
    <n v="0"/>
    <n v="0"/>
    <m/>
    <m/>
    <m/>
  </r>
  <r>
    <x v="16"/>
    <x v="44"/>
    <n v="500.22"/>
    <n v="22.13"/>
    <m/>
    <n v="553.25"/>
    <n v="53.03"/>
    <n v="0"/>
    <n v="553.25"/>
    <n v="83.45"/>
    <n v="636.70000000000005"/>
    <s v="DD"/>
    <e v="#DIV/0!"/>
    <m/>
    <e v="#DIV/0!"/>
    <e v="#VALUE!"/>
    <e v="#DIV/0!"/>
    <m/>
    <m/>
    <m/>
  </r>
  <r>
    <x v="16"/>
    <x v="44"/>
    <n v="700.05"/>
    <n v="30.97"/>
    <m/>
    <n v="774.28"/>
    <n v="74.23"/>
    <n v="0"/>
    <n v="774.28"/>
    <n v="116.8"/>
    <n v="891.08"/>
    <s v="DD"/>
    <e v="#DIV/0!"/>
    <m/>
    <e v="#DIV/0!"/>
    <e v="#VALUE!"/>
    <e v="#DIV/0!"/>
    <m/>
    <m/>
    <m/>
  </r>
  <r>
    <x v="100"/>
    <x v="44"/>
    <n v="904.13"/>
    <n v="40"/>
    <m/>
    <n v="1000"/>
    <n v="95.87"/>
    <n v="0"/>
    <n v="1000"/>
    <n v="150.84"/>
    <n v="1150.8399999999999"/>
    <s v="DD"/>
    <n v="25"/>
    <n v="40"/>
    <n v="0"/>
    <n v="0"/>
    <n v="0"/>
    <m/>
    <m/>
    <m/>
  </r>
  <r>
    <x v="101"/>
    <x v="44"/>
    <n v="1592.45"/>
    <n v="40.5"/>
    <m/>
    <n v="1800"/>
    <n v="207.55"/>
    <n v="0"/>
    <n v="1800"/>
    <n v="271.52"/>
    <n v="2071.52"/>
    <s v="DD"/>
    <n v="24.827586206896552"/>
    <n v="72.5"/>
    <n v="6.2068965517241379"/>
    <n v="0.12"/>
    <n v="9.3103448275862064"/>
    <m/>
    <m/>
    <m/>
  </r>
  <r>
    <x v="78"/>
    <x v="44"/>
    <m/>
    <n v="80"/>
    <m/>
    <m/>
    <m/>
    <m/>
    <m/>
    <m/>
    <m/>
    <m/>
    <m/>
    <m/>
    <m/>
    <n v="0"/>
    <m/>
    <m/>
    <m/>
    <m/>
  </r>
  <r>
    <x v="82"/>
    <x v="44"/>
    <m/>
    <n v="94.5"/>
    <m/>
    <m/>
    <m/>
    <m/>
    <m/>
    <m/>
    <m/>
    <m/>
    <m/>
    <m/>
    <m/>
    <n v="0"/>
    <m/>
    <m/>
    <m/>
    <m/>
  </r>
  <r>
    <x v="79"/>
    <x v="44"/>
    <m/>
    <n v="106.5"/>
    <m/>
    <m/>
    <m/>
    <m/>
    <m/>
    <m/>
    <m/>
    <m/>
    <m/>
    <m/>
    <m/>
    <n v="0"/>
    <m/>
    <m/>
    <m/>
    <m/>
  </r>
  <r>
    <x v="16"/>
    <x v="45"/>
    <n v="1354"/>
    <n v="80"/>
    <m/>
    <n v="1404"/>
    <n v="248.28"/>
    <n v="50"/>
    <n v="1652.28"/>
    <n v="251.27"/>
    <n v="1903.55"/>
    <s v="DD"/>
    <e v="#DIV/0!"/>
    <m/>
    <e v="#DIV/0!"/>
    <e v="#VALUE!"/>
    <e v="#DIV/0!"/>
    <n v="409.55"/>
    <m/>
    <m/>
  </r>
  <r>
    <x v="48"/>
    <x v="45"/>
    <n v="1795"/>
    <n v="53"/>
    <m/>
    <n v="1845"/>
    <n v="336.05"/>
    <n v="50"/>
    <n v="2181.0500000000002"/>
    <n v="294.89"/>
    <n v="2475.94"/>
    <s v="DD"/>
    <n v="34.811320754716981"/>
    <n v="53"/>
    <n v="226.27358490566039"/>
    <n v="13.58"/>
    <n v="339.41037735849056"/>
    <m/>
    <m/>
    <m/>
  </r>
  <r>
    <x v="16"/>
    <x v="45"/>
    <n v="1606"/>
    <n v="80"/>
    <m/>
    <n v="1656"/>
    <n v="298.43"/>
    <n v="50"/>
    <n v="1954.43"/>
    <n v="276.2"/>
    <n v="2230.63"/>
    <s v="DD"/>
    <e v="#DIV/0!"/>
    <m/>
    <e v="#DIV/0!"/>
    <e v="#VALUE!"/>
    <e v="#DIV/0!"/>
    <m/>
    <m/>
    <m/>
  </r>
  <r>
    <x v="16"/>
    <x v="45"/>
    <n v="1453.68"/>
    <n v="84.5"/>
    <m/>
    <n v="1778.38"/>
    <n v="324.7"/>
    <n v="0"/>
    <n v="1778.38"/>
    <n v="294.63"/>
    <n v="2073.0100000000002"/>
    <s v="DD"/>
    <e v="#DIV/0!"/>
    <m/>
    <e v="#DIV/0!"/>
    <e v="#VALUE!"/>
    <e v="#DIV/0!"/>
    <m/>
    <m/>
    <m/>
  </r>
  <r>
    <x v="16"/>
    <x v="45"/>
    <n v="704.05"/>
    <n v="40"/>
    <m/>
    <n v="820"/>
    <n v="115.95"/>
    <n v="0"/>
    <n v="820"/>
    <n v="134.28"/>
    <n v="954.28"/>
    <s v="DD"/>
    <e v="#DIV/0!"/>
    <m/>
    <e v="#DIV/0!"/>
    <e v="#VALUE!"/>
    <e v="#DIV/0!"/>
    <m/>
    <m/>
    <m/>
  </r>
  <r>
    <x v="16"/>
    <x v="45"/>
    <n v="500.1"/>
    <n v="27.57"/>
    <m/>
    <n v="565.19000000000005"/>
    <n v="65.09"/>
    <n v="0"/>
    <n v="565.19000000000005"/>
    <n v="94.32"/>
    <n v="659.51"/>
    <s v="DD"/>
    <e v="#DIV/0!"/>
    <m/>
    <e v="#DIV/0!"/>
    <e v="#VALUE!"/>
    <e v="#DIV/0!"/>
    <m/>
    <m/>
    <m/>
  </r>
  <r>
    <x v="16"/>
    <x v="45"/>
    <n v="700"/>
    <n v="39.75"/>
    <m/>
    <n v="814.94"/>
    <n v="114.94"/>
    <n v="0"/>
    <n v="814.94"/>
    <n v="135.99"/>
    <n v="950.93"/>
    <s v="DD"/>
    <e v="#DIV/0!"/>
    <m/>
    <e v="#DIV/0!"/>
    <e v="#VALUE!"/>
    <e v="#DIV/0!"/>
    <m/>
    <m/>
    <m/>
  </r>
  <r>
    <x v="16"/>
    <x v="45"/>
    <n v="1344.75"/>
    <n v="80"/>
    <m/>
    <n v="1640"/>
    <n v="295.25"/>
    <n v="0"/>
    <n v="1640"/>
    <n v="273.68"/>
    <n v="1913.68"/>
    <s v="DD"/>
    <e v="#DIV/0!"/>
    <m/>
    <e v="#DIV/0!"/>
    <e v="#VALUE!"/>
    <e v="#DIV/0!"/>
    <m/>
    <m/>
    <m/>
  </r>
  <r>
    <x v="16"/>
    <x v="45"/>
    <n v="1878.33"/>
    <n v="96.5"/>
    <m/>
    <n v="2356.88"/>
    <n v="478.55"/>
    <n v="0"/>
    <n v="2356.88"/>
    <n v="359.59"/>
    <n v="2716.47"/>
    <s v="DD"/>
    <e v="#DIV/0!"/>
    <m/>
    <e v="#DIV/0!"/>
    <e v="#VALUE!"/>
    <e v="#DIV/0!"/>
    <m/>
    <m/>
    <m/>
  </r>
  <r>
    <x v="82"/>
    <x v="45"/>
    <m/>
    <n v="97.5"/>
    <m/>
    <m/>
    <m/>
    <m/>
    <m/>
    <m/>
    <m/>
    <m/>
    <m/>
    <m/>
    <m/>
    <n v="0"/>
    <m/>
    <m/>
    <m/>
    <m/>
  </r>
  <r>
    <x v="18"/>
    <x v="46"/>
    <n v="1591"/>
    <n v="80"/>
    <n v="199.83"/>
    <n v="1791"/>
    <n v="199.83"/>
    <n v="200"/>
    <n v="1990.83"/>
    <n v="360.82"/>
    <n v="2351.65"/>
    <n v="100150"/>
    <n v="20.008341708542712"/>
    <n v="99.5"/>
    <n v="195.08133165829145"/>
    <n v="35.11"/>
    <n v="292.62199748743717"/>
    <n v="409.55"/>
    <m/>
    <m/>
  </r>
  <r>
    <x v="26"/>
    <x v="46"/>
    <n v="1140"/>
    <n v="80"/>
    <n v="185.15"/>
    <n v="1620"/>
    <n v="185.15"/>
    <n v="480"/>
    <n v="1805.15"/>
    <n v="342.14"/>
    <n v="2147.29"/>
    <n v="100160"/>
    <n v="20.057222222222222"/>
    <n v="90"/>
    <n v="100.28611111111111"/>
    <n v="18.05"/>
    <n v="150.42916666666667"/>
    <m/>
    <m/>
    <m/>
  </r>
  <r>
    <x v="20"/>
    <x v="46"/>
    <n v="1018"/>
    <n v="80"/>
    <n v="287.83"/>
    <n v="1683"/>
    <n v="287.83"/>
    <n v="665"/>
    <n v="1970.83"/>
    <n v="358.8"/>
    <n v="2329.63"/>
    <s v="DD"/>
    <n v="21.078395721925133"/>
    <n v="93.5"/>
    <n v="142.27917112299465"/>
    <n v="24.19"/>
    <n v="213.418756684492"/>
    <m/>
    <m/>
    <m/>
  </r>
  <r>
    <x v="21"/>
    <x v="46"/>
    <n v="1198"/>
    <n v="80"/>
    <n v="276.64"/>
    <n v="1638"/>
    <n v="276.64"/>
    <n v="440"/>
    <n v="1914.64"/>
    <n v="349.06"/>
    <n v="2263.6999999999998"/>
    <s v="DD"/>
    <n v="21.04"/>
    <n v="91"/>
    <n v="115.72"/>
    <n v="19.670000000000002"/>
    <n v="173.57999999999998"/>
    <m/>
    <m/>
    <m/>
  </r>
  <r>
    <x v="22"/>
    <x v="46"/>
    <n v="1053"/>
    <n v="80"/>
    <n v="265.47000000000003"/>
    <n v="1593"/>
    <n v="265.47000000000003"/>
    <n v="540"/>
    <n v="1858.47"/>
    <n v="336.36"/>
    <n v="2194.83"/>
    <s v="DD"/>
    <n v="20.999661016949151"/>
    <n v="88.5"/>
    <n v="89.248559322033898"/>
    <n v="14.28"/>
    <n v="133.87283898305085"/>
    <m/>
    <m/>
    <m/>
  </r>
  <r>
    <x v="23"/>
    <x v="46"/>
    <n v="1134"/>
    <n v="80"/>
    <n v="263.2"/>
    <n v="1584"/>
    <n v="263.2"/>
    <n v="450"/>
    <n v="1847.2"/>
    <n v="332.13"/>
    <n v="2179.33"/>
    <s v="DD"/>
    <n v="20.990909090909092"/>
    <n v="88"/>
    <n v="83.963636363636368"/>
    <n v="13.43"/>
    <n v="125.94545454545455"/>
    <m/>
    <m/>
    <m/>
  </r>
  <r>
    <x v="24"/>
    <x v="46"/>
    <n v="1880"/>
    <n v="80"/>
    <n v="336.78"/>
    <n v="1880"/>
    <n v="336.78"/>
    <n v="0"/>
    <n v="2216.7800000000002"/>
    <n v="366.48"/>
    <n v="2583.2600000000002"/>
    <s v="DD"/>
    <n v="23.582765957446806"/>
    <n v="94"/>
    <n v="165.07936170212764"/>
    <n v="26.41"/>
    <n v="247.61904255319146"/>
    <m/>
    <m/>
    <m/>
  </r>
  <r>
    <x v="27"/>
    <x v="46"/>
    <n v="1698"/>
    <n v="80"/>
    <n v="406.34"/>
    <n v="2160"/>
    <n v="406.34"/>
    <n v="462"/>
    <n v="2566.34"/>
    <n v="398.95"/>
    <n v="2965.29"/>
    <s v="DD"/>
    <n v="23.762407407407409"/>
    <n v="108"/>
    <n v="332.67370370370372"/>
    <n v="49.9"/>
    <n v="499.01055555555558"/>
    <m/>
    <m/>
    <m/>
  </r>
  <r>
    <x v="28"/>
    <x v="46"/>
    <n v="1790"/>
    <n v="80"/>
    <n v="314.39999999999998"/>
    <n v="1790"/>
    <n v="314.39999999999998"/>
    <n v="0"/>
    <n v="2104.4"/>
    <n v="356.04"/>
    <n v="2460.44"/>
    <s v="DD"/>
    <n v="23.512849162011175"/>
    <n v="89.5"/>
    <n v="111.68603351955308"/>
    <n v="16.75"/>
    <n v="167.52905027932962"/>
    <m/>
    <m/>
    <m/>
  </r>
  <r>
    <x v="29"/>
    <x v="46"/>
    <n v="1390"/>
    <n v="80"/>
    <n v="336.87"/>
    <n v="2270"/>
    <n v="336.87"/>
    <n v="880"/>
    <n v="2606.87"/>
    <n v="402.71"/>
    <n v="3009.58"/>
    <s v="DD"/>
    <n v="22.968017621145375"/>
    <n v="113.5"/>
    <n v="384.71429515418504"/>
    <n v="53.86"/>
    <n v="577.07144273127756"/>
    <m/>
    <m/>
    <m/>
  </r>
  <r>
    <x v="30"/>
    <x v="46"/>
    <n v="1680"/>
    <n v="80"/>
    <n v="190.3"/>
    <n v="1680"/>
    <n v="190.3"/>
    <n v="0"/>
    <n v="1870.3"/>
    <n v="334.29"/>
    <n v="2204.59"/>
    <s v="DD"/>
    <n v="22.265476190476189"/>
    <n v="84"/>
    <n v="44.530952380952378"/>
    <n v="6.23"/>
    <n v="66.796428571428564"/>
    <m/>
    <m/>
    <m/>
  </r>
  <r>
    <x v="31"/>
    <x v="46"/>
    <n v="1650"/>
    <n v="50"/>
    <n v="198.88"/>
    <n v="1650"/>
    <n v="198.88"/>
    <n v="0"/>
    <n v="1848.88"/>
    <n v="332.3"/>
    <n v="2181.1799999999998"/>
    <s v="DD"/>
    <n v="22.410666666666668"/>
    <n v="82.5"/>
    <n v="112.05333333333334"/>
    <n v="14.57"/>
    <n v="168.08"/>
    <m/>
    <m/>
    <m/>
  </r>
  <r>
    <x v="32"/>
    <x v="46"/>
    <n v="1010"/>
    <n v="80"/>
    <n v="251.2"/>
    <n v="1890"/>
    <n v="251.22"/>
    <n v="879.98"/>
    <n v="2141.1999999999998"/>
    <n v="359.47"/>
    <n v="2500.67"/>
    <s v="DD"/>
    <n v="22.658201058201055"/>
    <n v="94.5"/>
    <n v="164.27195767195764"/>
    <n v="21.36"/>
    <n v="246.40793650793645"/>
    <m/>
    <m/>
    <m/>
  </r>
  <r>
    <x v="33"/>
    <x v="46"/>
    <n v="2200"/>
    <n v="80"/>
    <n v="319.45999999999998"/>
    <n v="2200"/>
    <n v="319.45999999999998"/>
    <n v="0"/>
    <n v="2519.46"/>
    <n v="394.58"/>
    <n v="2914.04"/>
    <s v="DD"/>
    <n v="22.904181818181819"/>
    <n v="110"/>
    <n v="343.56272727272727"/>
    <n v="41.23"/>
    <n v="515.34409090909094"/>
    <m/>
    <m/>
    <m/>
  </r>
  <r>
    <x v="34"/>
    <x v="46"/>
    <n v="930"/>
    <n v="52.5"/>
    <n v="233.77"/>
    <n v="1810"/>
    <n v="233.77"/>
    <n v="880"/>
    <n v="2043.77"/>
    <n v="350.41"/>
    <n v="2394.1799999999998"/>
    <s v="DD"/>
    <n v="22.583093922651933"/>
    <n v="90.5"/>
    <n v="141.14433701657458"/>
    <n v="16.940000000000001"/>
    <n v="211.71650552486187"/>
    <m/>
    <m/>
    <m/>
  </r>
  <r>
    <x v="35"/>
    <x v="46"/>
    <n v="1960"/>
    <n v="59"/>
    <n v="266.48"/>
    <n v="1960"/>
    <n v="266.48"/>
    <n v="0"/>
    <n v="2226.48"/>
    <n v="367.39"/>
    <n v="2593.87"/>
    <s v="DD"/>
    <n v="22.719183673469388"/>
    <n v="98"/>
    <n v="215.83224489795919"/>
    <n v="23.74"/>
    <n v="323.74836734693878"/>
    <m/>
    <m/>
    <m/>
  </r>
  <r>
    <x v="37"/>
    <x v="46"/>
    <n v="2435"/>
    <n v="80"/>
    <n v="487.21"/>
    <n v="2875"/>
    <n v="487.21"/>
    <n v="440"/>
    <n v="3362.21"/>
    <n v="472.89"/>
    <n v="3835.1"/>
    <s v="DD"/>
    <n v="26.897680000000001"/>
    <n v="125"/>
    <n v="605.19780000000003"/>
    <n v="66.569999999999993"/>
    <n v="907.7967000000001"/>
    <m/>
    <m/>
    <m/>
  </r>
  <r>
    <x v="38"/>
    <x v="46"/>
    <n v="2829"/>
    <n v="80"/>
    <n v="475.77"/>
    <n v="2829"/>
    <n v="475.77"/>
    <n v="0"/>
    <n v="3304.77"/>
    <n v="467.55"/>
    <n v="3772.32"/>
    <s v="DD"/>
    <n v="26.868048780487804"/>
    <n v="123"/>
    <n v="577.66304878048777"/>
    <n v="57.77"/>
    <n v="866.49457317073166"/>
    <m/>
    <m/>
    <m/>
  </r>
  <r>
    <x v="39"/>
    <x v="46"/>
    <n v="2495"/>
    <n v="80"/>
    <n v="392.78"/>
    <n v="2495"/>
    <n v="392.78"/>
    <n v="0"/>
    <n v="2887.78"/>
    <n v="428.81"/>
    <n v="3316.59"/>
    <s v="DD"/>
    <n v="26.61548387096774"/>
    <n v="108.5"/>
    <n v="379.2706451612903"/>
    <n v="37.93"/>
    <n v="568.90596774193546"/>
    <m/>
    <m/>
    <m/>
  </r>
  <r>
    <x v="40"/>
    <x v="46"/>
    <n v="2852"/>
    <n v="80"/>
    <n v="481.5"/>
    <n v="2852"/>
    <n v="481.5"/>
    <n v="0"/>
    <n v="3333.5"/>
    <n v="470.23"/>
    <n v="3803.73"/>
    <s v="DD"/>
    <n v="26.991902834008098"/>
    <n v="123.5"/>
    <n v="587.07388663967618"/>
    <n v="52.84"/>
    <n v="880.61082995951426"/>
    <m/>
    <m/>
    <m/>
  </r>
  <r>
    <x v="41"/>
    <x v="46"/>
    <n v="2219"/>
    <n v="80"/>
    <n v="324.19"/>
    <n v="2219"/>
    <n v="324.19"/>
    <n v="0"/>
    <n v="2543.19"/>
    <n v="396.8"/>
    <n v="2939.99"/>
    <s v="DD"/>
    <n v="26.354300518134714"/>
    <n v="96.5"/>
    <n v="217.42297927461138"/>
    <n v="19.57"/>
    <n v="326.13446891191705"/>
    <m/>
    <m/>
    <m/>
  </r>
  <r>
    <x v="42"/>
    <x v="46"/>
    <n v="1805"/>
    <n v="52"/>
    <n v="232.69"/>
    <n v="1805"/>
    <n v="232.69"/>
    <n v="0"/>
    <n v="2037.69"/>
    <n v="330.16"/>
    <n v="2367.85"/>
    <s v="DD"/>
    <n v="25.957834394904459"/>
    <n v="78.5"/>
    <n v="155.74700636942674"/>
    <n v="14.02"/>
    <n v="233.62050955414011"/>
    <m/>
    <m/>
    <m/>
  </r>
  <r>
    <x v="43"/>
    <x v="46"/>
    <n v="2323"/>
    <n v="80"/>
    <n v="350.03"/>
    <n v="2323"/>
    <n v="350.03"/>
    <n v="0"/>
    <n v="2673.03"/>
    <n v="365.02"/>
    <n v="3038.05"/>
    <s v="DD"/>
    <n v="26.465643564356434"/>
    <n v="101"/>
    <n v="277.88925742574253"/>
    <n v="22.23"/>
    <n v="416.83388613861382"/>
    <m/>
    <m/>
    <m/>
  </r>
  <r>
    <x v="44"/>
    <x v="46"/>
    <n v="2070"/>
    <n v="50.5"/>
    <n v="286.26"/>
    <n v="2070"/>
    <n v="286.26"/>
    <n v="0"/>
    <n v="2356.2600000000002"/>
    <n v="393.58"/>
    <n v="2749.84"/>
    <s v="DD"/>
    <n v="26.326927374301679"/>
    <n v="89.5"/>
    <n v="138.2163687150838"/>
    <n v="11.06"/>
    <n v="207.32455307262569"/>
    <m/>
    <m/>
    <m/>
  </r>
  <r>
    <x v="45"/>
    <x v="46"/>
    <n v="2081"/>
    <n v="51.5"/>
    <m/>
    <n v="2081"/>
    <n v="236.96"/>
    <n v="0"/>
    <n v="2317.96"/>
    <n v="366.34"/>
    <n v="2684.3"/>
    <s v="DD"/>
    <n v="22.994475138121548"/>
    <n v="90.5"/>
    <n v="132.21823204419888"/>
    <n v="9.26"/>
    <n v="198.32734806629833"/>
    <m/>
    <m/>
    <m/>
  </r>
  <r>
    <x v="46"/>
    <x v="46"/>
    <n v="2334"/>
    <n v="80"/>
    <m/>
    <n v="2346"/>
    <n v="284.42"/>
    <n v="12"/>
    <n v="2630.42"/>
    <n v="392.57"/>
    <n v="3022.99"/>
    <s v="DD"/>
    <n v="23"/>
    <n v="102"/>
    <n v="253"/>
    <n v="17.71"/>
    <n v="379.5"/>
    <m/>
    <m/>
    <m/>
  </r>
  <r>
    <x v="47"/>
    <x v="46"/>
    <n v="2219"/>
    <n v="80"/>
    <m/>
    <n v="2254"/>
    <n v="259.12"/>
    <n v="35"/>
    <n v="2513.12"/>
    <n v="323.11"/>
    <n v="2836.23"/>
    <s v="DD"/>
    <n v="23"/>
    <n v="98"/>
    <n v="207"/>
    <n v="12.42"/>
    <n v="310.5"/>
    <m/>
    <m/>
    <m/>
  </r>
  <r>
    <x v="48"/>
    <x v="46"/>
    <n v="2081"/>
    <n v="80"/>
    <m/>
    <n v="2081"/>
    <n v="228.14"/>
    <n v="0"/>
    <n v="2309.14"/>
    <n v="305.75"/>
    <n v="2614.89"/>
    <s v="DD"/>
    <n v="22.994475138121548"/>
    <n v="90.5"/>
    <n v="120.72099447513813"/>
    <n v="7.24"/>
    <n v="181.08149171270719"/>
    <m/>
    <m/>
    <m/>
  </r>
  <r>
    <x v="49"/>
    <x v="46"/>
    <n v="2325"/>
    <n v="80"/>
    <m/>
    <n v="2325"/>
    <n v="271.83999999999997"/>
    <n v="0"/>
    <n v="2596.84"/>
    <n v="328.42"/>
    <n v="2925.26"/>
    <s v="DD"/>
    <n v="25"/>
    <n v="93"/>
    <n v="162.5"/>
    <n v="8.1300000000000008"/>
    <n v="243.75"/>
    <m/>
    <m/>
    <m/>
  </r>
  <r>
    <x v="50"/>
    <x v="46"/>
    <n v="3624.32"/>
    <n v="76"/>
    <m/>
    <n v="2166"/>
    <n v="241.68"/>
    <n v="0"/>
    <n v="3866"/>
    <n v="308.01"/>
    <n v="4174.01"/>
    <s v="DD"/>
    <n v="28.5"/>
    <n v="76"/>
    <n v="0"/>
    <n v="0"/>
    <n v="0"/>
    <m/>
    <m/>
    <m/>
  </r>
  <r>
    <x v="99"/>
    <x v="46"/>
    <n v="1033.07"/>
    <n v="24"/>
    <m/>
    <n v="1140"/>
    <n v="106.93"/>
    <n v="0"/>
    <n v="1140"/>
    <n v="162.12"/>
    <n v="1302.1199999999999"/>
    <s v="DD"/>
    <n v="47.5"/>
    <n v="24"/>
    <n v="0"/>
    <n v="0"/>
    <n v="0"/>
    <m/>
    <m/>
    <m/>
  </r>
  <r>
    <x v="16"/>
    <x v="46"/>
    <n v="500"/>
    <n v="19.36"/>
    <m/>
    <n v="551.76"/>
    <n v="51.76"/>
    <n v="0"/>
    <n v="551.76"/>
    <n v="78.28"/>
    <n v="630.04"/>
    <s v="DD"/>
    <e v="#DIV/0!"/>
    <m/>
    <e v="#DIV/0!"/>
    <e v="#VALUE!"/>
    <e v="#DIV/0!"/>
    <m/>
    <m/>
    <m/>
  </r>
  <r>
    <x v="16"/>
    <x v="46"/>
    <n v="700.11"/>
    <n v="27.11"/>
    <m/>
    <n v="772.58"/>
    <n v="72.47"/>
    <n v="0"/>
    <n v="772.58"/>
    <n v="109.61"/>
    <n v="882.19"/>
    <s v="DD"/>
    <e v="#DIV/0!"/>
    <m/>
    <e v="#DIV/0!"/>
    <e v="#VALUE!"/>
    <e v="#DIV/0!"/>
    <m/>
    <m/>
    <m/>
  </r>
  <r>
    <x v="16"/>
    <x v="46"/>
    <n v="1033.07"/>
    <n v="40.5"/>
    <m/>
    <n v="1140"/>
    <n v="106.93"/>
    <n v="0"/>
    <n v="1140"/>
    <n v="161.72999999999999"/>
    <n v="1301.73"/>
    <s v="DD"/>
    <e v="#DIV/0!"/>
    <m/>
    <e v="#DIV/0!"/>
    <e v="#VALUE!"/>
    <e v="#DIV/0!"/>
    <m/>
    <m/>
    <m/>
  </r>
  <r>
    <x v="101"/>
    <x v="46"/>
    <n v="1855.39"/>
    <n v="73"/>
    <m/>
    <n v="2080.5"/>
    <n v="225.11"/>
    <n v="0"/>
    <n v="2080.5"/>
    <n v="295.16000000000003"/>
    <n v="2375.66"/>
    <s v="DD"/>
    <n v="28.5"/>
    <n v="73"/>
    <n v="7.125"/>
    <n v="0.14000000000000001"/>
    <n v="10.6875"/>
    <m/>
    <m/>
    <m/>
  </r>
  <r>
    <x v="78"/>
    <x v="46"/>
    <m/>
    <n v="81"/>
    <m/>
    <m/>
    <m/>
    <m/>
    <m/>
    <m/>
    <m/>
    <m/>
    <m/>
    <m/>
    <m/>
    <n v="0"/>
    <m/>
    <m/>
    <m/>
    <m/>
  </r>
  <r>
    <x v="82"/>
    <x v="46"/>
    <m/>
    <n v="96.5"/>
    <m/>
    <m/>
    <m/>
    <m/>
    <m/>
    <m/>
    <m/>
    <m/>
    <m/>
    <m/>
    <m/>
    <n v="0"/>
    <m/>
    <m/>
    <m/>
    <m/>
  </r>
  <r>
    <x v="79"/>
    <x v="46"/>
    <m/>
    <n v="106.5"/>
    <m/>
    <m/>
    <m/>
    <m/>
    <m/>
    <m/>
    <m/>
    <m/>
    <m/>
    <m/>
    <m/>
    <n v="0"/>
    <m/>
    <m/>
    <m/>
    <m/>
  </r>
  <r>
    <x v="16"/>
    <x v="47"/>
    <n v="819"/>
    <n v="45"/>
    <n v="96.23"/>
    <n v="819"/>
    <n v="96.23"/>
    <n v="0"/>
    <n v="915.23"/>
    <n v="180.81"/>
    <n v="1096.04"/>
    <n v="100183"/>
    <e v="#DIV/0!"/>
    <m/>
    <e v="#DIV/0!"/>
    <e v="#VALUE!"/>
    <e v="#DIV/0!"/>
    <n v="409.55"/>
    <m/>
    <m/>
  </r>
  <r>
    <x v="16"/>
    <x v="47"/>
    <n v="1098"/>
    <n v="50"/>
    <n v="123.07"/>
    <n v="1098"/>
    <n v="123.07"/>
    <n v="0"/>
    <n v="1221.07"/>
    <n v="221.11"/>
    <n v="1442.18"/>
    <n v="100184"/>
    <e v="#DIV/0!"/>
    <m/>
    <e v="#DIV/0!"/>
    <e v="#VALUE!"/>
    <e v="#DIV/0!"/>
    <m/>
    <m/>
    <m/>
  </r>
  <r>
    <x v="37"/>
    <x v="47"/>
    <n v="2962"/>
    <n v="80"/>
    <n v="618.6"/>
    <n v="3402"/>
    <n v="618.16"/>
    <n v="440"/>
    <n v="4020.16"/>
    <n v="558.12"/>
    <n v="4578.28"/>
    <s v="DD"/>
    <n v="26.278431372549019"/>
    <n v="153"/>
    <n v="959.16274509803918"/>
    <n v="105.51"/>
    <n v="1438.7441176470588"/>
    <m/>
    <m/>
    <m/>
  </r>
  <r>
    <x v="38"/>
    <x v="47"/>
    <n v="2835"/>
    <n v="80"/>
    <n v="477.27"/>
    <n v="2835"/>
    <n v="477.27"/>
    <n v="0"/>
    <n v="3312.27"/>
    <n v="473.31"/>
    <n v="3785.58"/>
    <s v="DD"/>
    <n v="21.030285714285714"/>
    <n v="157.5"/>
    <n v="814.92357142857145"/>
    <n v="81.489999999999995"/>
    <n v="1222.3853571428572"/>
    <m/>
    <m/>
    <m/>
  </r>
  <r>
    <x v="39"/>
    <x v="47"/>
    <n v="1944"/>
    <n v="80"/>
    <n v="262.98"/>
    <n v="1944"/>
    <n v="262.98"/>
    <n v="0"/>
    <n v="2206.98"/>
    <n v="365.56"/>
    <n v="2572.54"/>
    <s v="DD"/>
    <n v="20.434999999999999"/>
    <n v="108"/>
    <n v="286.08999999999997"/>
    <n v="28.61"/>
    <n v="429.13499999999999"/>
    <m/>
    <m/>
    <m/>
  </r>
  <r>
    <x v="40"/>
    <x v="47"/>
    <n v="2322"/>
    <n v="80"/>
    <n v="349.8"/>
    <n v="2322"/>
    <n v="349.8"/>
    <n v="0"/>
    <n v="2671.8"/>
    <n v="408.76"/>
    <n v="3080.56"/>
    <s v="DD"/>
    <n v="20.711627906976744"/>
    <n v="129"/>
    <n v="507.43488372093026"/>
    <n v="45.67"/>
    <n v="761.15232558139542"/>
    <m/>
    <m/>
    <m/>
  </r>
  <r>
    <x v="41"/>
    <x v="47"/>
    <n v="2025"/>
    <n v="80"/>
    <n v="280.64999999999998"/>
    <n v="2025"/>
    <n v="280.64999999999998"/>
    <n v="0"/>
    <n v="2305.65"/>
    <n v="374.73"/>
    <n v="2680.38"/>
    <s v="DD"/>
    <n v="20.494666666666667"/>
    <n v="112.5"/>
    <n v="333.03833333333336"/>
    <n v="29.97"/>
    <n v="499.5575"/>
    <m/>
    <m/>
    <m/>
  </r>
  <r>
    <x v="42"/>
    <x v="47"/>
    <n v="1880"/>
    <n v="64.5"/>
    <n v="249.04"/>
    <n v="1880"/>
    <n v="249.04"/>
    <n v="0"/>
    <n v="2129.04"/>
    <n v="358.33"/>
    <n v="2487.37"/>
    <s v="DD"/>
    <n v="22.64936170212766"/>
    <n v="94"/>
    <n v="277.45468085106381"/>
    <n v="24.97"/>
    <n v="416.18202127659572"/>
    <m/>
    <m/>
    <m/>
  </r>
  <r>
    <x v="43"/>
    <x v="47"/>
    <n v="2110"/>
    <n v="80"/>
    <n v="299.2"/>
    <n v="2110"/>
    <n v="299.2"/>
    <n v="0"/>
    <n v="2409.1999999999998"/>
    <n v="384.36"/>
    <n v="2793.56"/>
    <s v="DD"/>
    <n v="22.728301886792451"/>
    <n v="106"/>
    <n v="295.46792452830186"/>
    <n v="23.64"/>
    <n v="443.2018867924528"/>
    <m/>
    <m/>
    <m/>
  </r>
  <r>
    <x v="44"/>
    <x v="47"/>
    <n v="1750"/>
    <n v="50"/>
    <n v="216.47"/>
    <n v="1750"/>
    <n v="216.47"/>
    <n v="0"/>
    <n v="1966.47"/>
    <n v="355.02"/>
    <n v="2321.4899999999998"/>
    <s v="DD"/>
    <n v="22.473942857142859"/>
    <n v="87.5"/>
    <n v="112.36971428571429"/>
    <n v="8.99"/>
    <n v="168.55457142857145"/>
    <m/>
    <m/>
    <m/>
  </r>
  <r>
    <x v="45"/>
    <x v="47"/>
    <n v="1730"/>
    <n v="80"/>
    <m/>
    <n v="1730"/>
    <n v="179.22"/>
    <n v="0"/>
    <n v="1909.22"/>
    <n v="331.64"/>
    <n v="2240.86"/>
    <s v="DD"/>
    <n v="20"/>
    <n v="86.5"/>
    <n v="65"/>
    <n v="4.55"/>
    <n v="97.5"/>
    <m/>
    <m/>
    <m/>
  </r>
  <r>
    <x v="46"/>
    <x v="47"/>
    <n v="2100"/>
    <n v="80"/>
    <m/>
    <n v="2100"/>
    <n v="240.37"/>
    <n v="0"/>
    <n v="2340.37"/>
    <n v="368.23"/>
    <n v="2708.6"/>
    <s v="DD"/>
    <n v="20"/>
    <n v="105"/>
    <n v="250"/>
    <n v="17.5"/>
    <n v="375"/>
    <m/>
    <m/>
    <m/>
  </r>
  <r>
    <x v="47"/>
    <x v="47"/>
    <n v="1940"/>
    <n v="60"/>
    <m/>
    <n v="1940"/>
    <n v="202.91"/>
    <n v="0"/>
    <n v="2142.91"/>
    <n v="299.87"/>
    <n v="2442.7800000000002"/>
    <s v="DD"/>
    <n v="20"/>
    <n v="97"/>
    <n v="200"/>
    <n v="12"/>
    <n v="300"/>
    <m/>
    <m/>
    <m/>
  </r>
  <r>
    <x v="48"/>
    <x v="47"/>
    <n v="1880"/>
    <n v="80"/>
    <m/>
    <n v="1880"/>
    <n v="192.17"/>
    <n v="0"/>
    <n v="2072.17"/>
    <n v="287.08"/>
    <n v="2359.25"/>
    <s v="DD"/>
    <n v="20"/>
    <n v="94"/>
    <n v="140"/>
    <n v="8.4"/>
    <n v="210"/>
    <m/>
    <m/>
    <m/>
  </r>
  <r>
    <x v="49"/>
    <x v="47"/>
    <n v="1870"/>
    <n v="80"/>
    <m/>
    <n v="1870"/>
    <n v="190.37"/>
    <n v="0"/>
    <n v="2060.37"/>
    <n v="286.13"/>
    <n v="2346.5"/>
    <s v="DD"/>
    <n v="20"/>
    <n v="93.5"/>
    <n v="135"/>
    <n v="6.75"/>
    <n v="202.5"/>
    <m/>
    <m/>
    <m/>
  </r>
  <r>
    <x v="50"/>
    <x v="47"/>
    <n v="1785.86"/>
    <n v="86"/>
    <m/>
    <n v="2002.5"/>
    <n v="216.64"/>
    <n v="0"/>
    <n v="2002.5"/>
    <n v="306.89"/>
    <n v="2309.39"/>
    <s v="DD"/>
    <n v="23.284883720930232"/>
    <n v="86"/>
    <n v="69.854651162790702"/>
    <n v="3.49"/>
    <n v="104.78197674418605"/>
    <m/>
    <m/>
    <m/>
  </r>
  <r>
    <x v="99"/>
    <x v="47"/>
    <n v="812.03"/>
    <n v="24"/>
    <m/>
    <n v="900"/>
    <n v="87.97"/>
    <n v="0"/>
    <n v="900"/>
    <n v="139.82"/>
    <n v="1039.82"/>
    <s v="DD"/>
    <n v="37.5"/>
    <n v="24"/>
    <n v="0"/>
    <n v="0"/>
    <n v="0"/>
    <m/>
    <m/>
    <m/>
  </r>
  <r>
    <x v="16"/>
    <x v="47"/>
    <n v="500.01"/>
    <n v="24.63"/>
    <m/>
    <n v="554.17999999999995"/>
    <n v="54.17"/>
    <n v="0"/>
    <n v="554.17999999999995"/>
    <n v="88.1"/>
    <n v="642.28"/>
    <s v="DD"/>
    <e v="#DIV/0!"/>
    <m/>
    <e v="#DIV/0!"/>
    <e v="#VALUE!"/>
    <e v="#DIV/0!"/>
    <m/>
    <m/>
    <m/>
  </r>
  <r>
    <x v="16"/>
    <x v="47"/>
    <n v="700.4"/>
    <n v="34.5"/>
    <m/>
    <n v="776.25"/>
    <n v="75.849999999999994"/>
    <n v="0"/>
    <n v="776.25"/>
    <n v="123.38"/>
    <n v="899.63"/>
    <s v="DD"/>
    <e v="#DIV/0!"/>
    <m/>
    <e v="#DIV/0!"/>
    <e v="#VALUE!"/>
    <e v="#DIV/0!"/>
    <m/>
    <m/>
    <m/>
  </r>
  <r>
    <x v="16"/>
    <x v="47"/>
    <n v="300"/>
    <n v="14.78"/>
    <m/>
    <n v="332.5"/>
    <n v="32.5"/>
    <n v="0"/>
    <n v="332.5"/>
    <n v="52.86"/>
    <n v="385.36"/>
    <s v="DD"/>
    <e v="#DIV/0!"/>
    <m/>
    <e v="#DIV/0!"/>
    <e v="#VALUE!"/>
    <e v="#DIV/0!"/>
    <m/>
    <m/>
    <m/>
  </r>
  <r>
    <x v="101"/>
    <x v="47"/>
    <n v="649.63"/>
    <n v="32.5"/>
    <m/>
    <n v="720"/>
    <n v="70.37"/>
    <n v="0"/>
    <n v="720"/>
    <n v="114.46"/>
    <n v="834.46"/>
    <s v="DD"/>
    <n v="22.153846153846153"/>
    <n v="32.5"/>
    <n v="0"/>
    <n v="0"/>
    <n v="0"/>
    <m/>
    <m/>
    <m/>
  </r>
  <r>
    <x v="78"/>
    <x v="47"/>
    <m/>
    <n v="71"/>
    <m/>
    <m/>
    <m/>
    <m/>
    <m/>
    <m/>
    <m/>
    <m/>
    <m/>
    <m/>
    <m/>
    <n v="0"/>
    <m/>
    <m/>
    <m/>
    <m/>
  </r>
  <r>
    <x v="82"/>
    <x v="47"/>
    <m/>
    <n v="84.5"/>
    <m/>
    <m/>
    <m/>
    <m/>
    <m/>
    <m/>
    <m/>
    <m/>
    <m/>
    <m/>
    <m/>
    <n v="0"/>
    <m/>
    <m/>
    <m/>
    <m/>
  </r>
  <r>
    <x v="79"/>
    <x v="47"/>
    <m/>
    <n v="37.5"/>
    <m/>
    <m/>
    <m/>
    <m/>
    <m/>
    <m/>
    <m/>
    <m/>
    <m/>
    <m/>
    <m/>
    <n v="0"/>
    <m/>
    <m/>
    <m/>
    <m/>
  </r>
  <r>
    <x v="48"/>
    <x v="48"/>
    <n v="1665"/>
    <n v="80"/>
    <m/>
    <n v="1665"/>
    <n v="165.25"/>
    <n v="0"/>
    <n v="1830.25"/>
    <n v="277.08"/>
    <n v="2107.33"/>
    <n v="100197"/>
    <n v="18"/>
    <n v="92.5"/>
    <n v="112.5"/>
    <n v="6.75"/>
    <n v="168.75"/>
    <n v="409.55"/>
    <m/>
    <m/>
  </r>
  <r>
    <x v="49"/>
    <x v="48"/>
    <n v="1656"/>
    <n v="64"/>
    <m/>
    <n v="1656"/>
    <n v="164.54"/>
    <n v="0"/>
    <n v="1820.54"/>
    <n v="276.2"/>
    <n v="2096.7399999999998"/>
    <n v="100201"/>
    <n v="25.875"/>
    <n v="64"/>
    <n v="0"/>
    <n v="0"/>
    <n v="0"/>
    <m/>
    <m/>
    <m/>
  </r>
  <r>
    <x v="50"/>
    <x v="48"/>
    <n v="1616.21"/>
    <n v="85"/>
    <m/>
    <n v="1793.75"/>
    <n v="177.54"/>
    <n v="0"/>
    <n v="1793.75"/>
    <n v="296.83999999999997"/>
    <n v="2090.59"/>
    <n v="100204"/>
    <n v="21.102941176470587"/>
    <n v="85"/>
    <n v="52.757352941176464"/>
    <n v="2.64"/>
    <n v="79.136029411764696"/>
    <m/>
    <m/>
    <m/>
  </r>
  <r>
    <x v="16"/>
    <x v="48"/>
    <n v="738.36"/>
    <n v="40"/>
    <m/>
    <n v="820"/>
    <n v="81.64"/>
    <n v="0"/>
    <n v="820"/>
    <n v="137.30000000000001"/>
    <n v="957.3"/>
    <n v="100207"/>
    <e v="#DIV/0!"/>
    <m/>
    <e v="#DIV/0!"/>
    <e v="#VALUE!"/>
    <e v="#DIV/0!"/>
    <m/>
    <m/>
    <m/>
  </r>
  <r>
    <x v="16"/>
    <x v="48"/>
    <n v="500.04"/>
    <n v="27.09"/>
    <m/>
    <n v="555.35"/>
    <n v="55.31"/>
    <n v="0"/>
    <n v="555.35"/>
    <n v="96.03"/>
    <n v="651.38"/>
    <n v="100210"/>
    <e v="#DIV/0!"/>
    <m/>
    <e v="#DIV/0!"/>
    <e v="#VALUE!"/>
    <e v="#DIV/0!"/>
    <m/>
    <m/>
    <m/>
  </r>
  <r>
    <x v="16"/>
    <x v="48"/>
    <n v="700.06"/>
    <n v="37.92"/>
    <m/>
    <n v="777.46"/>
    <n v="77.400000000000006"/>
    <n v="0"/>
    <n v="777.46"/>
    <n v="132.78"/>
    <n v="910.24"/>
    <n v="100214"/>
    <e v="#DIV/0!"/>
    <m/>
    <e v="#DIV/0!"/>
    <e v="#VALUE!"/>
    <e v="#DIV/0!"/>
    <m/>
    <m/>
    <m/>
  </r>
  <r>
    <x v="100"/>
    <x v="48"/>
    <n v="1476.72"/>
    <n v="80"/>
    <m/>
    <n v="1640"/>
    <n v="163.28"/>
    <n v="0"/>
    <n v="1640"/>
    <n v="273.68"/>
    <n v="1913.68"/>
    <n v="100217"/>
    <n v="20.5"/>
    <n v="80"/>
    <n v="0"/>
    <n v="0"/>
    <n v="0"/>
    <m/>
    <m/>
    <m/>
  </r>
  <r>
    <x v="101"/>
    <x v="48"/>
    <n v="2114.66"/>
    <n v="96"/>
    <m/>
    <n v="2340"/>
    <n v="225.34"/>
    <n v="0"/>
    <n v="2340"/>
    <n v="357.36"/>
    <n v="2697.36"/>
    <n v="100220"/>
    <n v="24.248704663212436"/>
    <n v="96.5"/>
    <n v="200.05181347150261"/>
    <n v="4"/>
    <n v="300.07772020725395"/>
    <m/>
    <m/>
    <m/>
  </r>
  <r>
    <x v="78"/>
    <x v="48"/>
    <m/>
    <n v="52"/>
    <m/>
    <m/>
    <m/>
    <m/>
    <m/>
    <m/>
    <m/>
    <m/>
    <m/>
    <m/>
    <m/>
    <n v="0"/>
    <m/>
    <m/>
    <m/>
    <m/>
  </r>
  <r>
    <x v="82"/>
    <x v="48"/>
    <m/>
    <n v="97.5"/>
    <m/>
    <m/>
    <m/>
    <m/>
    <m/>
    <m/>
    <m/>
    <m/>
    <m/>
    <m/>
    <m/>
    <n v="0"/>
    <m/>
    <m/>
    <m/>
    <m/>
  </r>
  <r>
    <x v="79"/>
    <x v="48"/>
    <m/>
    <n v="74"/>
    <m/>
    <m/>
    <m/>
    <m/>
    <m/>
    <m/>
    <m/>
    <m/>
    <m/>
    <m/>
    <m/>
    <n v="0"/>
    <m/>
    <m/>
    <m/>
    <m/>
  </r>
  <r>
    <x v="47"/>
    <x v="49"/>
    <n v="612"/>
    <n v="34"/>
    <m/>
    <n v="612"/>
    <n v="76.180000000000007"/>
    <n v="0"/>
    <n v="688.18"/>
    <n v="108.29"/>
    <n v="796.47"/>
    <n v="100195"/>
    <n v="18"/>
    <n v="34"/>
    <n v="0"/>
    <n v="0"/>
    <n v="0"/>
    <n v="409.55"/>
    <m/>
    <m/>
  </r>
  <r>
    <x v="48"/>
    <x v="49"/>
    <n v="1669"/>
    <n v="80"/>
    <m/>
    <n v="1719"/>
    <n v="310.98"/>
    <n v="50"/>
    <n v="2029.98"/>
    <n v="282.44"/>
    <n v="2312.42"/>
    <n v="100198"/>
    <n v="18"/>
    <n v="95.5"/>
    <n v="139.5"/>
    <n v="8.3699999999999992"/>
    <n v="209.25"/>
    <m/>
    <m/>
    <m/>
  </r>
  <r>
    <x v="49"/>
    <x v="49"/>
    <n v="1651"/>
    <n v="80"/>
    <m/>
    <n v="1701"/>
    <n v="307.38"/>
    <n v="50"/>
    <n v="2008.38"/>
    <n v="280.64"/>
    <n v="2289.02"/>
    <s v="DD"/>
    <n v="18"/>
    <n v="94.5"/>
    <n v="130.5"/>
    <n v="6.53"/>
    <n v="195.75"/>
    <m/>
    <m/>
    <m/>
  </r>
  <r>
    <x v="50"/>
    <x v="49"/>
    <n v="1406.57"/>
    <n v="45"/>
    <m/>
    <n v="1763"/>
    <n v="321.43"/>
    <n v="35"/>
    <n v="1763"/>
    <n v="292.41000000000003"/>
    <n v="2055.41"/>
    <s v="DD"/>
    <n v="20.988095238095237"/>
    <n v="84"/>
    <n v="52.470238095238095"/>
    <n v="2.62"/>
    <n v="78.705357142857139"/>
    <m/>
    <m/>
    <m/>
  </r>
  <r>
    <x v="99"/>
    <x v="49"/>
    <n v="738.36"/>
    <n v="24"/>
    <m/>
    <n v="820"/>
    <n v="81.64"/>
    <n v="0"/>
    <n v="820"/>
    <n v="137.30000000000001"/>
    <n v="957.3"/>
    <s v="DD"/>
    <n v="34.166666666666664"/>
    <n v="24"/>
    <n v="0"/>
    <n v="0"/>
    <n v="0"/>
    <m/>
    <m/>
    <m/>
  </r>
  <r>
    <x v="16"/>
    <x v="49"/>
    <n v="500.06"/>
    <n v="27.09"/>
    <m/>
    <n v="555.35"/>
    <n v="55.29"/>
    <n v="0"/>
    <n v="555.35"/>
    <n v="94.99"/>
    <n v="650.34"/>
    <s v="DD"/>
    <e v="#DIV/0!"/>
    <m/>
    <e v="#DIV/0!"/>
    <e v="#VALUE!"/>
    <e v="#DIV/0!"/>
    <m/>
    <m/>
    <m/>
  </r>
  <r>
    <x v="16"/>
    <x v="49"/>
    <n v="700.06"/>
    <n v="37.92"/>
    <m/>
    <n v="777.46"/>
    <n v="77.400000000000006"/>
    <n v="0"/>
    <n v="777.46"/>
    <n v="129.72"/>
    <n v="907.18"/>
    <s v="DD"/>
    <e v="#DIV/0!"/>
    <m/>
    <e v="#DIV/0!"/>
    <e v="#VALUE!"/>
    <e v="#DIV/0!"/>
    <m/>
    <m/>
    <m/>
  </r>
  <r>
    <x v="100"/>
    <x v="49"/>
    <n v="738.36"/>
    <n v="40"/>
    <m/>
    <n v="820"/>
    <n v="81.64"/>
    <n v="0"/>
    <n v="820"/>
    <n v="136.84"/>
    <n v="956.84"/>
    <s v="DD"/>
    <n v="20.5"/>
    <n v="40"/>
    <n v="0"/>
    <n v="0"/>
    <n v="0"/>
    <m/>
    <m/>
    <m/>
  </r>
  <r>
    <x v="101"/>
    <x v="49"/>
    <n v="1471.8"/>
    <n v="72"/>
    <m/>
    <n v="1631.25"/>
    <n v="159.44999999999999"/>
    <n v="0"/>
    <n v="1631.25"/>
    <n v="259.31"/>
    <n v="1890.56"/>
    <s v="DD"/>
    <n v="22.65625"/>
    <n v="72"/>
    <n v="0"/>
    <n v="0"/>
    <n v="0"/>
    <m/>
    <m/>
    <m/>
  </r>
  <r>
    <x v="78"/>
    <x v="49"/>
    <m/>
    <n v="80"/>
    <m/>
    <m/>
    <m/>
    <m/>
    <m/>
    <m/>
    <m/>
    <m/>
    <m/>
    <m/>
    <m/>
    <n v="0"/>
    <m/>
    <m/>
    <m/>
    <m/>
  </r>
  <r>
    <x v="82"/>
    <x v="49"/>
    <m/>
    <n v="94"/>
    <m/>
    <m/>
    <m/>
    <m/>
    <m/>
    <m/>
    <m/>
    <m/>
    <m/>
    <m/>
    <m/>
    <n v="0"/>
    <m/>
    <m/>
    <m/>
    <m/>
  </r>
  <r>
    <x v="79"/>
    <x v="49"/>
    <m/>
    <n v="106.5"/>
    <m/>
    <m/>
    <m/>
    <m/>
    <m/>
    <m/>
    <m/>
    <m/>
    <m/>
    <m/>
    <m/>
    <n v="0"/>
    <m/>
    <m/>
    <m/>
    <m/>
  </r>
  <r>
    <x v="37"/>
    <x v="50"/>
    <n v="1079"/>
    <n v="55.5"/>
    <n v="190.38"/>
    <n v="1611"/>
    <n v="190.38"/>
    <n v="532"/>
    <n v="1801.38"/>
    <n v="338.7"/>
    <n v="2140.08"/>
    <s v="DD"/>
    <n v="20.127150837988829"/>
    <n v="89.5"/>
    <n v="155.98541899441344"/>
    <n v="17.16"/>
    <n v="233.97812849162017"/>
    <n v="409.55"/>
    <m/>
    <m/>
  </r>
  <r>
    <x v="38"/>
    <x v="50"/>
    <n v="1676"/>
    <n v="80"/>
    <n v="278.69"/>
    <n v="2016"/>
    <n v="278.69"/>
    <n v="340"/>
    <n v="2294.69"/>
    <n v="387.48"/>
    <n v="2682.17"/>
    <s v="DD"/>
    <n v="20.766425339366517"/>
    <n v="110.5"/>
    <n v="316.68798642533937"/>
    <n v="31.67"/>
    <n v="475.03197963800903"/>
    <m/>
    <m/>
    <m/>
  </r>
  <r>
    <x v="39"/>
    <x v="50"/>
    <n v="1328"/>
    <n v="80"/>
    <n v="215.89"/>
    <n v="1728"/>
    <n v="215.89"/>
    <n v="400"/>
    <n v="1943.89"/>
    <n v="352.79"/>
    <n v="2296.6799999999998"/>
    <s v="DD"/>
    <n v="20.248854166666664"/>
    <n v="96"/>
    <n v="161.99083333333331"/>
    <n v="16.2"/>
    <n v="242.98624999999998"/>
    <m/>
    <m/>
    <m/>
  </r>
  <r>
    <x v="40"/>
    <x v="50"/>
    <n v="2191"/>
    <n v="80"/>
    <n v="309.66000000000003"/>
    <n v="2261"/>
    <n v="329.66"/>
    <n v="50"/>
    <n v="2570.66"/>
    <n v="405.11"/>
    <n v="2975.77"/>
    <s v="DD"/>
    <n v="20.647871485943774"/>
    <n v="124.5"/>
    <n v="459.41514056224901"/>
    <n v="41.35"/>
    <n v="689.12271084337351"/>
    <m/>
    <m/>
    <m/>
  </r>
  <r>
    <x v="41"/>
    <x v="50"/>
    <n v="1600"/>
    <n v="80"/>
    <n v="275.20999999999998"/>
    <n v="2000"/>
    <n v="275.20999999999998"/>
    <n v="400"/>
    <n v="2275.21"/>
    <n v="371.91"/>
    <n v="2647.12"/>
    <s v="DD"/>
    <n v="22.752099999999999"/>
    <n v="100"/>
    <n v="227.52099999999999"/>
    <n v="20.48"/>
    <n v="341.28149999999999"/>
    <m/>
    <m/>
    <m/>
  </r>
  <r>
    <x v="42"/>
    <x v="50"/>
    <n v="1490"/>
    <n v="49.5"/>
    <n v="176.57"/>
    <n v="1520"/>
    <n v="176.57"/>
    <n v="30"/>
    <n v="1696.57"/>
    <n v="318.14999999999998"/>
    <n v="2014.72"/>
    <s v="DD"/>
    <n v="22.323289473684209"/>
    <n v="76"/>
    <n v="106.035625"/>
    <n v="9.5399999999999991"/>
    <n v="159.0534375"/>
    <m/>
    <m/>
    <m/>
  </r>
  <r>
    <x v="43"/>
    <x v="50"/>
    <n v="1940"/>
    <n v="80"/>
    <n v="273.04000000000002"/>
    <n v="1990"/>
    <n v="273.04000000000002"/>
    <n v="50"/>
    <n v="2263.04"/>
    <n v="370.78"/>
    <n v="2633.82"/>
    <s v="DD"/>
    <n v="22.744120603015077"/>
    <n v="99.5"/>
    <n v="221.755175879397"/>
    <n v="17.739999999999998"/>
    <n v="332.63276381909549"/>
    <m/>
    <m/>
    <m/>
  </r>
  <r>
    <x v="44"/>
    <x v="50"/>
    <n v="2470"/>
    <n v="50"/>
    <n v="381.04"/>
    <n v="2470"/>
    <n v="381.04"/>
    <n v="0"/>
    <n v="2851.04"/>
    <n v="442.51"/>
    <n v="3293.55"/>
    <s v="DD"/>
    <n v="32.215141242937854"/>
    <n v="88.5"/>
    <n v="161.07570621468926"/>
    <n v="12.89"/>
    <n v="241.61355932203389"/>
    <m/>
    <m/>
    <m/>
  </r>
  <r>
    <x v="45"/>
    <x v="50"/>
    <n v="1850"/>
    <n v="52"/>
    <m/>
    <n v="1950"/>
    <n v="213.52"/>
    <n v="100"/>
    <n v="2163.52"/>
    <n v="353.4"/>
    <n v="2516.92"/>
    <s v="DD"/>
    <n v="21.787709497206706"/>
    <n v="89.5"/>
    <n v="130.72625698324023"/>
    <n v="9.15"/>
    <n v="196.08938547486036"/>
    <m/>
    <m/>
    <m/>
  </r>
  <r>
    <x v="46"/>
    <x v="50"/>
    <n v="1990"/>
    <n v="80"/>
    <m/>
    <n v="2040"/>
    <n v="229.63"/>
    <n v="50"/>
    <n v="2269.63"/>
    <n v="362.29"/>
    <n v="2631.92"/>
    <s v="DD"/>
    <n v="20"/>
    <n v="102"/>
    <n v="220"/>
    <n v="15.4"/>
    <n v="330"/>
    <m/>
    <m/>
    <m/>
  </r>
  <r>
    <x v="47"/>
    <x v="50"/>
    <n v="2106"/>
    <n v="43.5"/>
    <m/>
    <n v="2156"/>
    <n v="241.58"/>
    <n v="50"/>
    <n v="2397.58"/>
    <n v="313.67"/>
    <n v="2711.25"/>
    <s v="DD"/>
    <n v="29.944444444444443"/>
    <n v="72"/>
    <n v="52.402777777777771"/>
    <n v="3.14"/>
    <n v="78.604166666666657"/>
    <m/>
    <m/>
    <m/>
  </r>
  <r>
    <x v="16"/>
    <x v="50"/>
    <n v="2847"/>
    <n v="80"/>
    <m/>
    <n v="2697"/>
    <n v="341.56"/>
    <n v="0"/>
    <n v="3188.56"/>
    <n v="362.96"/>
    <n v="3551.52"/>
    <s v="DD"/>
    <e v="#DIV/0!"/>
    <m/>
    <e v="#DIV/0!"/>
    <e v="#VALUE!"/>
    <e v="#DIV/0!"/>
    <m/>
    <m/>
    <m/>
  </r>
  <r>
    <x v="16"/>
    <x v="50"/>
    <n v="2636"/>
    <n v="80"/>
    <m/>
    <n v="2486"/>
    <n v="300.66000000000003"/>
    <n v="0"/>
    <n v="2936.66"/>
    <n v="343.38"/>
    <n v="3280.04"/>
    <s v="DD"/>
    <e v="#DIV/0!"/>
    <m/>
    <e v="#DIV/0!"/>
    <e v="#VALUE!"/>
    <e v="#DIV/0!"/>
    <m/>
    <m/>
    <m/>
  </r>
  <r>
    <x v="16"/>
    <x v="50"/>
    <n v="2648"/>
    <n v="80"/>
    <m/>
    <n v="2875"/>
    <n v="377"/>
    <n v="0"/>
    <n v="3025"/>
    <n v="379.5"/>
    <n v="3404.5"/>
    <s v="DD"/>
    <e v="#DIV/0!"/>
    <m/>
    <e v="#DIV/0!"/>
    <e v="#VALUE!"/>
    <e v="#DIV/0!"/>
    <m/>
    <m/>
    <m/>
  </r>
  <r>
    <x v="16"/>
    <x v="50"/>
    <n v="904.13"/>
    <n v="40"/>
    <m/>
    <n v="1000"/>
    <n v="95.87"/>
    <n v="0"/>
    <n v="1000"/>
    <n v="149.11000000000001"/>
    <n v="1149.1099999999999"/>
    <s v="DD"/>
    <e v="#DIV/0!"/>
    <m/>
    <e v="#DIV/0!"/>
    <e v="#VALUE!"/>
    <e v="#DIV/0!"/>
    <m/>
    <m/>
    <m/>
  </r>
  <r>
    <x v="16"/>
    <x v="50"/>
    <n v="500.22"/>
    <n v="22.13"/>
    <m/>
    <n v="553.25"/>
    <n v="53.03"/>
    <n v="0"/>
    <n v="553.25"/>
    <n v="83.45"/>
    <n v="636.70000000000005"/>
    <s v="DD"/>
    <e v="#DIV/0!"/>
    <m/>
    <e v="#DIV/0!"/>
    <e v="#VALUE!"/>
    <e v="#DIV/0!"/>
    <m/>
    <m/>
    <m/>
  </r>
  <r>
    <x v="16"/>
    <x v="50"/>
    <n v="2954.7"/>
    <n v="80"/>
    <n v="387.5"/>
    <n v="2875"/>
    <n v="487.8"/>
    <n v="0"/>
    <n v="3442.5"/>
    <n v="546.02"/>
    <n v="3988.52"/>
    <s v="DD"/>
    <e v="#DIV/0!"/>
    <m/>
    <e v="#DIV/0!"/>
    <e v="#VALUE!"/>
    <e v="#DIV/0!"/>
    <m/>
    <m/>
    <m/>
  </r>
  <r>
    <x v="16"/>
    <x v="50"/>
    <n v="3330.78"/>
    <n v="112.5"/>
    <m/>
    <n v="3347.5"/>
    <n v="484.72"/>
    <n v="0"/>
    <n v="3815.5"/>
    <n v="465.86"/>
    <n v="4281.3599999999997"/>
    <s v="DD"/>
    <e v="#DIV/0!"/>
    <m/>
    <e v="#DIV/0!"/>
    <e v="#VALUE!"/>
    <e v="#DIV/0!"/>
    <m/>
    <m/>
    <m/>
  </r>
  <r>
    <x v="13"/>
    <x v="51"/>
    <n v="1000"/>
    <n v="40"/>
    <n v="128.05000000000001"/>
    <n v="1000"/>
    <n v="128.05000000000001"/>
    <n v="0"/>
    <n v="1128.05"/>
    <n v="193.76"/>
    <n v="1321.81"/>
    <n v="100107"/>
    <n v="28.201249999999998"/>
    <n v="40"/>
    <n v="0"/>
    <n v="0"/>
    <n v="0"/>
    <n v="409.55"/>
    <m/>
    <m/>
  </r>
  <r>
    <x v="14"/>
    <x v="51"/>
    <n v="846"/>
    <n v="80"/>
    <n v="452.6"/>
    <n v="2400"/>
    <n v="477.6"/>
    <n v="1529"/>
    <n v="2852.6"/>
    <n v="447.5"/>
    <n v="3300.1"/>
    <n v="100115"/>
    <n v="30.027368421052632"/>
    <n v="95"/>
    <n v="225.20526315789473"/>
    <n v="45.04"/>
    <n v="337.80789473684212"/>
    <m/>
    <m/>
    <m/>
  </r>
  <r>
    <x v="15"/>
    <x v="51"/>
    <n v="861"/>
    <n v="51"/>
    <n v="484.42"/>
    <n v="2000"/>
    <n v="409.42"/>
    <n v="1214"/>
    <n v="2484.42"/>
    <n v="410.47"/>
    <n v="2894.89"/>
    <n v="100121"/>
    <n v="29.93277108433735"/>
    <n v="83"/>
    <n v="164.63024096385541"/>
    <n v="32.93"/>
    <n v="246.94536144578313"/>
    <m/>
    <m/>
    <m/>
  </r>
  <r>
    <x v="16"/>
    <x v="51"/>
    <n v="1685"/>
    <n v="80"/>
    <n v="407.8"/>
    <n v="2000"/>
    <n v="232.8"/>
    <n v="490"/>
    <n v="2407.8000000000002"/>
    <n v="402.77"/>
    <n v="2810.57"/>
    <n v="100130"/>
    <e v="#DIV/0!"/>
    <n v="0"/>
    <e v="#DIV/0!"/>
    <e v="#VALUE!"/>
    <e v="#DIV/0!"/>
    <m/>
    <m/>
    <m/>
  </r>
  <r>
    <x v="17"/>
    <x v="51"/>
    <n v="2662"/>
    <n v="80"/>
    <n v="1217.3"/>
    <n v="2000"/>
    <n v="555.29999999999995"/>
    <n v="0"/>
    <n v="3217.3"/>
    <n v="477.54"/>
    <n v="3694.84"/>
    <n v="100139"/>
    <n v="30.209389671361503"/>
    <n v="106.5"/>
    <n v="400.27441314553994"/>
    <n v="76.05"/>
    <n v="600.41161971830991"/>
    <m/>
    <m/>
    <m/>
  </r>
  <r>
    <x v="16"/>
    <x v="51"/>
    <n v="2275"/>
    <n v="80"/>
    <n v="241.37"/>
    <n v="2275"/>
    <n v="241.37"/>
    <n v="0"/>
    <n v="2516.37"/>
    <n v="398.59"/>
    <n v="2914.96"/>
    <s v="DD"/>
    <e v="#DIV/0!"/>
    <m/>
    <e v="#DIV/0!"/>
    <e v="#VALUE!"/>
    <e v="#DIV/0!"/>
    <m/>
    <m/>
    <m/>
  </r>
  <r>
    <x v="16"/>
    <x v="51"/>
    <n v="2475"/>
    <n v="0"/>
    <n v="2475"/>
    <m/>
    <n v="455.76"/>
    <n v="0"/>
    <n v="2930.76"/>
    <n v="277.24"/>
    <n v="3208"/>
    <s v="DD"/>
    <e v="#DIV/0!"/>
    <m/>
    <e v="#DIV/0!"/>
    <e v="#VALUE!"/>
    <e v="#DIV/0!"/>
    <m/>
    <m/>
    <m/>
  </r>
  <r>
    <x v="16"/>
    <x v="51"/>
    <n v="2512"/>
    <n v="80"/>
    <n v="1030.03"/>
    <n v="2000"/>
    <n v="518.03"/>
    <n v="0"/>
    <n v="3030.03"/>
    <n v="447.19"/>
    <n v="3477.22"/>
    <s v="DD"/>
    <e v="#DIV/0!"/>
    <m/>
    <e v="#DIV/0!"/>
    <e v="#VALUE!"/>
    <e v="#DIV/0!"/>
    <m/>
    <m/>
    <m/>
  </r>
  <r>
    <x v="21"/>
    <x v="51"/>
    <n v="2000"/>
    <n v="36"/>
    <n v="390.79"/>
    <n v="2000"/>
    <n v="390.79"/>
    <n v="0"/>
    <n v="2390.79"/>
    <n v="386.71"/>
    <n v="2777.5"/>
    <s v="DD"/>
    <n v="66.410833333333329"/>
    <n v="36"/>
    <n v="0"/>
    <n v="0"/>
    <n v="0"/>
    <m/>
    <m/>
    <m/>
  </r>
  <r>
    <x v="22"/>
    <x v="51"/>
    <n v="2160"/>
    <n v="80"/>
    <n v="640.5"/>
    <n v="2000"/>
    <n v="440.5"/>
    <n v="40"/>
    <n v="2640.5"/>
    <n v="410.33"/>
    <n v="3050.83"/>
    <s v="DD"/>
    <n v="30.005681818181817"/>
    <n v="88"/>
    <n v="120.02272727272727"/>
    <n v="19.2"/>
    <n v="180.03409090909091"/>
    <m/>
    <m/>
    <m/>
  </r>
  <r>
    <x v="23"/>
    <x v="51"/>
    <n v="2190"/>
    <n v="80"/>
    <n v="640.5"/>
    <n v="2000"/>
    <n v="440.5"/>
    <n v="10"/>
    <n v="2640.5"/>
    <n v="405.85"/>
    <n v="3046.35"/>
    <s v="DD"/>
    <n v="30.005681818181817"/>
    <n v="88"/>
    <n v="120.02272727272727"/>
    <n v="19.2"/>
    <n v="180.03409090909091"/>
    <m/>
    <m/>
    <m/>
  </r>
  <r>
    <x v="24"/>
    <x v="51"/>
    <n v="2350"/>
    <n v="44"/>
    <n v="827.75"/>
    <n v="2000"/>
    <n v="477.75"/>
    <n v="0"/>
    <n v="2827.75"/>
    <n v="423.24"/>
    <n v="3250.99"/>
    <s v="DD"/>
    <n v="64.267045454545453"/>
    <n v="44"/>
    <n v="0"/>
    <n v="0"/>
    <n v="0"/>
    <m/>
    <m/>
    <m/>
  </r>
  <r>
    <x v="16"/>
    <x v="51"/>
    <n v="2675"/>
    <n v="80"/>
    <n v="1295.93"/>
    <n v="2000"/>
    <n v="570.92999999999995"/>
    <n v="50"/>
    <n v="3295.93"/>
    <n v="466.73"/>
    <n v="3762.66"/>
    <s v="DD"/>
    <e v="#DIV/0!"/>
    <m/>
    <e v="#DIV/0!"/>
    <e v="#VALUE!"/>
    <e v="#DIV/0!"/>
    <m/>
    <m/>
    <m/>
  </r>
  <r>
    <x v="16"/>
    <x v="51"/>
    <n v="2307"/>
    <n v="80"/>
    <n v="811.54"/>
    <n v="2000"/>
    <n v="474.54"/>
    <n v="30"/>
    <n v="2811.54"/>
    <n v="421.73"/>
    <n v="3233.27"/>
    <s v="DD"/>
    <e v="#DIV/0!"/>
    <m/>
    <e v="#DIV/0!"/>
    <e v="#VALUE!"/>
    <e v="#DIV/0!"/>
    <m/>
    <m/>
    <m/>
  </r>
  <r>
    <x v="29"/>
    <x v="51"/>
    <n v="2630"/>
    <n v="50"/>
    <n v="1081.3"/>
    <n v="2000"/>
    <n v="431.3"/>
    <n v="20"/>
    <n v="3081.3"/>
    <n v="446.8"/>
    <n v="3528.1"/>
    <s v="DD"/>
    <n v="53.125862068965517"/>
    <n v="58"/>
    <n v="265.62931034482756"/>
    <n v="37.19"/>
    <n v="398.44396551724134"/>
    <m/>
    <m/>
    <m/>
  </r>
  <r>
    <x v="30"/>
    <x v="51"/>
    <n v="2095"/>
    <n v="80"/>
    <n v="353.48"/>
    <n v="2000"/>
    <n v="228.48"/>
    <n v="30"/>
    <n v="2353.48"/>
    <n v="379.18"/>
    <n v="2732.66"/>
    <s v="DD"/>
    <n v="27.687999999999999"/>
    <n v="85"/>
    <n v="69.22"/>
    <n v="9.69"/>
    <n v="103.83"/>
    <m/>
    <m/>
    <m/>
  </r>
  <r>
    <x v="31"/>
    <x v="51"/>
    <n v="1860"/>
    <n v="45"/>
    <n v="258.85000000000002"/>
    <n v="1925"/>
    <n v="258.85000000000002"/>
    <n v="65"/>
    <n v="2183.85"/>
    <n v="363.41"/>
    <n v="2547.2600000000002"/>
    <s v="DD"/>
    <n v="28.361688311688312"/>
    <n v="77"/>
    <n v="70.904220779220779"/>
    <n v="9.2200000000000006"/>
    <n v="106.35633116883116"/>
    <m/>
    <m/>
    <m/>
  </r>
  <r>
    <x v="32"/>
    <x v="51"/>
    <n v="2337"/>
    <n v="80"/>
    <n v="365.9"/>
    <n v="2387"/>
    <n v="365.94"/>
    <n v="49.96"/>
    <n v="2752.9"/>
    <n v="416.29"/>
    <n v="3169.19"/>
    <s v="DD"/>
    <n v="26.598067632850242"/>
    <n v="103.5"/>
    <n v="312.52729468599034"/>
    <n v="40.630000000000003"/>
    <n v="468.79094202898551"/>
    <m/>
    <m/>
    <m/>
  </r>
  <r>
    <x v="33"/>
    <x v="51"/>
    <n v="2212"/>
    <n v="80"/>
    <n v="384.88"/>
    <n v="2212"/>
    <n v="334.88"/>
    <n v="50"/>
    <n v="2596.88"/>
    <n v="401.79"/>
    <n v="2998.67"/>
    <s v="DD"/>
    <n v="28.694806629834254"/>
    <n v="90.5"/>
    <n v="150.64773480662984"/>
    <n v="18.079999999999998"/>
    <n v="225.97160220994476"/>
    <m/>
    <m/>
    <m/>
  </r>
  <r>
    <x v="34"/>
    <x v="51"/>
    <n v="2637"/>
    <n v="80"/>
    <n v="440.5"/>
    <n v="2687"/>
    <n v="440.5"/>
    <n v="50"/>
    <n v="3127.5"/>
    <n v="451.1"/>
    <n v="3578.6"/>
    <s v="DD"/>
    <n v="30.812807881773399"/>
    <n v="101.5"/>
    <n v="331.23768472906403"/>
    <n v="39.75"/>
    <n v="496.85652709359601"/>
    <m/>
    <m/>
    <m/>
  </r>
  <r>
    <x v="35"/>
    <x v="51"/>
    <n v="2512"/>
    <n v="80"/>
    <n v="397"/>
    <n v="2512"/>
    <n v="397"/>
    <n v="0"/>
    <n v="2909"/>
    <n v="391.42"/>
    <n v="3300.42"/>
    <s v="DD"/>
    <n v="28.660098522167488"/>
    <n v="101.5"/>
    <n v="308.0960591133005"/>
    <n v="33.89"/>
    <n v="462.14408866995075"/>
    <m/>
    <m/>
    <m/>
  </r>
  <r>
    <x v="37"/>
    <x v="51"/>
    <n v="2925"/>
    <n v="80"/>
    <n v="499.63"/>
    <n v="2925"/>
    <n v="499.63"/>
    <n v="0"/>
    <n v="3424.63"/>
    <n v="422.53"/>
    <n v="3847.16"/>
    <s v="DD"/>
    <n v="29.270341880341881"/>
    <n v="117"/>
    <n v="541.50132478632486"/>
    <n v="59.57"/>
    <n v="812.25198717948729"/>
    <m/>
    <m/>
    <m/>
  </r>
  <r>
    <x v="38"/>
    <x v="51"/>
    <n v="2500"/>
    <n v="80"/>
    <n v="418.87"/>
    <n v="2600"/>
    <n v="418.87"/>
    <n v="100"/>
    <n v="3018.87"/>
    <n v="391.48"/>
    <n v="3410.35"/>
    <s v="DD"/>
    <n v="29.16782608695652"/>
    <n v="103.5"/>
    <n v="342.72195652173912"/>
    <n v="34.270000000000003"/>
    <n v="514.08293478260862"/>
    <m/>
    <m/>
    <m/>
  </r>
  <r>
    <x v="39"/>
    <x v="51"/>
    <n v="2316"/>
    <n v="49.5"/>
    <n v="360.74"/>
    <n v="2366"/>
    <n v="360.74"/>
    <n v="50"/>
    <n v="2726.74"/>
    <n v="369.14"/>
    <n v="3095.88"/>
    <s v="DD"/>
    <n v="31.341839080459767"/>
    <n v="87"/>
    <n v="148.87373563218389"/>
    <n v="14.89"/>
    <n v="223.31060344827586"/>
    <m/>
    <m/>
    <m/>
  </r>
  <r>
    <x v="40"/>
    <x v="51"/>
    <n v="2342"/>
    <n v="80"/>
    <n v="367.19"/>
    <n v="2392"/>
    <n v="367.19"/>
    <n v="50"/>
    <n v="2759.19"/>
    <n v="371.62"/>
    <n v="3130.81"/>
    <s v="DD"/>
    <n v="29.668709677419354"/>
    <n v="93"/>
    <n v="192.8466129032258"/>
    <n v="17.36"/>
    <n v="289.26991935483869"/>
    <m/>
    <m/>
    <m/>
  </r>
  <r>
    <x v="41"/>
    <x v="51"/>
    <n v="2316"/>
    <n v="80"/>
    <n v="360.71"/>
    <n v="2366"/>
    <n v="360.71"/>
    <n v="50"/>
    <n v="2726.71"/>
    <n v="369.12"/>
    <n v="3095.83"/>
    <s v="DD"/>
    <n v="29.963846153846156"/>
    <n v="91"/>
    <n v="164.80115384615385"/>
    <n v="14.83"/>
    <n v="247.20173076923078"/>
    <m/>
    <m/>
    <m/>
  </r>
  <r>
    <x v="42"/>
    <x v="51"/>
    <n v="1946"/>
    <n v="49.5"/>
    <n v="269.97000000000003"/>
    <n v="1976"/>
    <n v="269.97000000000003"/>
    <n v="30"/>
    <n v="2245.9699999999998"/>
    <n v="332.36"/>
    <n v="2578.33"/>
    <s v="DD"/>
    <n v="29.552236842105266"/>
    <n v="76"/>
    <n v="140.37312500000002"/>
    <n v="12.63"/>
    <n v="210.55968750000002"/>
    <m/>
    <m/>
    <m/>
  </r>
  <r>
    <x v="43"/>
    <x v="51"/>
    <n v="2381"/>
    <n v="80"/>
    <n v="376.87"/>
    <n v="2431"/>
    <n v="376.87"/>
    <n v="50"/>
    <n v="2807.87"/>
    <n v="375.34"/>
    <n v="3183.21"/>
    <s v="DD"/>
    <n v="30.030695187165776"/>
    <n v="93.5"/>
    <n v="202.70719251336899"/>
    <n v="16.22"/>
    <n v="304.06078877005348"/>
    <m/>
    <m/>
    <m/>
  </r>
  <r>
    <x v="44"/>
    <x v="51"/>
    <n v="2093"/>
    <n v="48.5"/>
    <n v="291.26"/>
    <n v="2093"/>
    <n v="291.26"/>
    <n v="0"/>
    <n v="2384.2600000000002"/>
    <n v="396.35"/>
    <n v="2780.61"/>
    <s v="DD"/>
    <n v="29.618136645962736"/>
    <n v="80.5"/>
    <n v="125.87708074534163"/>
    <n v="10.07"/>
    <n v="188.81562111801244"/>
    <m/>
    <m/>
    <m/>
  </r>
  <r>
    <x v="45"/>
    <x v="51"/>
    <n v="2121"/>
    <n v="51.5"/>
    <m/>
    <n v="2221"/>
    <n v="262.05"/>
    <n v="100"/>
    <n v="2483.0500000000002"/>
    <n v="380.2"/>
    <n v="2863.25"/>
    <s v="DD"/>
    <n v="26.598802395209582"/>
    <n v="83.5"/>
    <n v="152.94311377245509"/>
    <n v="10.71"/>
    <n v="229.41467065868264"/>
    <m/>
    <m/>
    <m/>
  </r>
  <r>
    <x v="46"/>
    <x v="51"/>
    <n v="2394"/>
    <n v="80"/>
    <m/>
    <n v="2444"/>
    <n v="301.94"/>
    <n v="50"/>
    <n v="2745.94"/>
    <n v="401.94"/>
    <n v="3147.88"/>
    <s v="DD"/>
    <n v="26"/>
    <n v="94"/>
    <n v="182"/>
    <n v="12.74"/>
    <n v="273"/>
    <m/>
    <m/>
    <m/>
  </r>
  <r>
    <x v="47"/>
    <x v="51"/>
    <n v="2173"/>
    <n v="52.5"/>
    <m/>
    <n v="2223"/>
    <n v="253.58"/>
    <n v="50"/>
    <n v="2476.58"/>
    <n v="318.94"/>
    <n v="2795.52"/>
    <s v="DD"/>
    <n v="26"/>
    <n v="85.5"/>
    <n v="162.5"/>
    <n v="9.75"/>
    <n v="243.75"/>
    <m/>
    <m/>
    <m/>
  </r>
  <r>
    <x v="48"/>
    <x v="51"/>
    <n v="2264"/>
    <n v="80"/>
    <m/>
    <n v="2314"/>
    <n v="269.86"/>
    <n v="50"/>
    <n v="2583.86"/>
    <n v="327.39"/>
    <n v="2911.25"/>
    <s v="DD"/>
    <n v="23.612244897959183"/>
    <n v="98"/>
    <n v="212.51020408163265"/>
    <n v="12.75"/>
    <n v="318.76530612244898"/>
    <m/>
    <m/>
    <m/>
  </r>
  <r>
    <x v="49"/>
    <x v="51"/>
    <n v="2238"/>
    <n v="48"/>
    <m/>
    <n v="2288"/>
    <n v="359.4"/>
    <n v="50"/>
    <n v="2647.4"/>
    <n v="324.97000000000003"/>
    <n v="2972.37"/>
    <s v="DD"/>
    <n v="28.6"/>
    <n v="80"/>
    <n v="114.4"/>
    <n v="5.72"/>
    <n v="171.60000000000002"/>
    <m/>
    <m/>
    <m/>
  </r>
  <r>
    <x v="50"/>
    <x v="51"/>
    <n v="1959.7"/>
    <n v="79"/>
    <m/>
    <n v="2370"/>
    <n v="375.3"/>
    <n v="35"/>
    <n v="2370"/>
    <n v="331.18"/>
    <n v="2701.18"/>
    <s v="DD"/>
    <n v="30"/>
    <n v="79"/>
    <n v="0"/>
    <n v="0"/>
    <n v="0"/>
    <m/>
    <m/>
    <m/>
  </r>
  <r>
    <x v="99"/>
    <x v="51"/>
    <n v="1063.7"/>
    <n v="24"/>
    <m/>
    <n v="1200"/>
    <n v="136.30000000000001"/>
    <n v="0"/>
    <n v="1200"/>
    <n v="167.69"/>
    <n v="1367.69"/>
    <s v="DD"/>
    <n v="50"/>
    <n v="24"/>
    <n v="0"/>
    <n v="0"/>
    <n v="0"/>
    <m/>
    <m/>
    <m/>
  </r>
  <r>
    <x v="16"/>
    <x v="51"/>
    <n v="500.07"/>
    <n v="18.38"/>
    <m/>
    <n v="551.4"/>
    <n v="51.33"/>
    <n v="0"/>
    <n v="551.4"/>
    <n v="76.47"/>
    <n v="627.87"/>
    <s v="DD"/>
    <e v="#DIV/0!"/>
    <m/>
    <e v="#DIV/0!"/>
    <e v="#VALUE!"/>
    <e v="#DIV/0!"/>
    <m/>
    <m/>
    <m/>
  </r>
  <r>
    <x v="16"/>
    <x v="51"/>
    <n v="1800"/>
    <n v="0"/>
    <m/>
    <n v="1800"/>
    <n v="0"/>
    <n v="0"/>
    <n v="1800"/>
    <n v="0"/>
    <n v="1800"/>
    <n v="100213"/>
    <e v="#DIV/0!"/>
    <m/>
    <e v="#DIV/0!"/>
    <e v="#VALUE!"/>
    <e v="#DIV/0!"/>
    <m/>
    <m/>
    <m/>
  </r>
  <r>
    <x v="16"/>
    <x v="51"/>
    <n v="250.07"/>
    <n v="25.73"/>
    <m/>
    <n v="771.9"/>
    <n v="71.83"/>
    <n v="450"/>
    <n v="771.9"/>
    <n v="107.04"/>
    <n v="878.94"/>
    <s v="DD"/>
    <e v="#DIV/0!"/>
    <m/>
    <e v="#DIV/0!"/>
    <e v="#VALUE!"/>
    <e v="#DIV/0!"/>
    <m/>
    <m/>
    <m/>
  </r>
  <r>
    <x v="16"/>
    <x v="51"/>
    <n v="450"/>
    <n v="0"/>
    <m/>
    <n v="450"/>
    <n v="0"/>
    <n v="0"/>
    <n v="450"/>
    <n v="0"/>
    <n v="450"/>
    <s v="DD"/>
    <e v="#DIV/0!"/>
    <m/>
    <e v="#DIV/0!"/>
    <e v="#VALUE!"/>
    <e v="#DIV/0!"/>
    <m/>
    <m/>
    <m/>
  </r>
  <r>
    <x v="100"/>
    <x v="51"/>
    <n v="435.34"/>
    <n v="16"/>
    <m/>
    <n v="480"/>
    <n v="44.66"/>
    <n v="0"/>
    <n v="480"/>
    <n v="66.56"/>
    <n v="546.55999999999995"/>
    <s v="DD"/>
    <n v="30"/>
    <n v="16"/>
    <n v="0"/>
    <n v="0"/>
    <n v="0"/>
    <m/>
    <m/>
    <m/>
  </r>
  <r>
    <x v="101"/>
    <x v="51"/>
    <n v="1829.45"/>
    <n v="72"/>
    <m/>
    <n v="2160"/>
    <n v="330.55"/>
    <n v="0"/>
    <n v="2160"/>
    <n v="299.52999999999997"/>
    <n v="2459.5300000000002"/>
    <s v="DD"/>
    <n v="30"/>
    <n v="72"/>
    <n v="0"/>
    <n v="0"/>
    <n v="0"/>
    <m/>
    <m/>
    <m/>
  </r>
  <r>
    <x v="78"/>
    <x v="51"/>
    <m/>
    <n v="80"/>
    <m/>
    <m/>
    <m/>
    <m/>
    <m/>
    <m/>
    <m/>
    <m/>
    <m/>
    <n v="0"/>
    <n v="0"/>
    <n v="0"/>
    <m/>
    <m/>
    <m/>
    <m/>
  </r>
  <r>
    <x v="86"/>
    <x v="52"/>
    <m/>
    <n v="36.5"/>
    <m/>
    <m/>
    <m/>
    <m/>
    <m/>
    <m/>
    <m/>
    <m/>
    <m/>
    <m/>
    <m/>
    <n v="0"/>
    <m/>
    <m/>
    <m/>
    <m/>
  </r>
  <r>
    <x v="18"/>
    <x v="52"/>
    <n v="1717"/>
    <n v="80"/>
    <n v="193.48"/>
    <n v="1717"/>
    <n v="193.48"/>
    <n v="0"/>
    <n v="1910.48"/>
    <n v="352.73"/>
    <n v="2263.21"/>
    <s v="DD"/>
    <n v="18.915643564356436"/>
    <n v="101"/>
    <n v="198.61425742574258"/>
    <n v="35.75"/>
    <n v="297.92138613861385"/>
    <n v="409.55"/>
    <m/>
    <m/>
  </r>
  <r>
    <x v="19"/>
    <x v="52"/>
    <n v="880"/>
    <n v="41"/>
    <n v="880"/>
    <m/>
    <n v="97.27"/>
    <n v="0"/>
    <n v="977.27"/>
    <n v="98.32"/>
    <n v="1075.5899999999999"/>
    <s v="DD"/>
    <n v="16"/>
    <n v="80"/>
    <n v="8"/>
    <n v="1.44"/>
    <n v="12"/>
    <m/>
    <m/>
    <m/>
  </r>
  <r>
    <x v="20"/>
    <x v="52"/>
    <n v="1514"/>
    <n v="80"/>
    <n v="312.88"/>
    <n v="1589"/>
    <n v="312.88"/>
    <n v="75"/>
    <n v="1901.88"/>
    <n v="351.87"/>
    <n v="2253.75"/>
    <s v="DD"/>
    <n v="20.340962566844922"/>
    <n v="93.5"/>
    <n v="137.30149732620322"/>
    <n v="23.34"/>
    <n v="205.95224598930483"/>
    <m/>
    <m/>
    <m/>
  </r>
  <r>
    <x v="21"/>
    <x v="52"/>
    <n v="631"/>
    <n v="46"/>
    <n v="190.68"/>
    <n v="1071"/>
    <n v="190.68"/>
    <n v="440"/>
    <n v="1261.68"/>
    <n v="287.45999999999998"/>
    <n v="1549.14"/>
    <s v="DD"/>
    <n v="20.026666666666667"/>
    <n v="63"/>
    <n v="60.08"/>
    <n v="10.210000000000001"/>
    <n v="90.12"/>
    <m/>
    <m/>
    <m/>
  </r>
  <r>
    <x v="43"/>
    <x v="52"/>
    <n v="1200"/>
    <n v="80"/>
    <n v="387.67"/>
    <n v="1890"/>
    <n v="387.67"/>
    <n v="690"/>
    <n v="2277.67"/>
    <n v="377.84"/>
    <n v="2655.51"/>
    <s v="DD"/>
    <n v="22.891155778894472"/>
    <n v="99.5"/>
    <n v="223.1887688442211"/>
    <n v="17.86"/>
    <n v="334.78315326633162"/>
    <m/>
    <m/>
    <m/>
  </r>
  <r>
    <x v="44"/>
    <x v="52"/>
    <n v="1672"/>
    <n v="49.5"/>
    <n v="331.42"/>
    <n v="1672"/>
    <n v="331.42"/>
    <n v="0"/>
    <n v="2003.42"/>
    <n v="358.68"/>
    <n v="2362.1"/>
    <s v="DD"/>
    <n v="22.766136363636363"/>
    <n v="88"/>
    <n v="108.13914772727273"/>
    <n v="8.65"/>
    <n v="162.20872159090908"/>
    <m/>
    <m/>
    <m/>
  </r>
  <r>
    <x v="45"/>
    <x v="52"/>
    <n v="1401"/>
    <n v="41.5"/>
    <m/>
    <n v="1501"/>
    <n v="232.36"/>
    <n v="100"/>
    <n v="1733.36"/>
    <n v="308.98"/>
    <n v="2042.34"/>
    <s v="DD"/>
    <n v="19"/>
    <n v="79"/>
    <n v="14.25"/>
    <n v="1"/>
    <n v="21.375"/>
    <m/>
    <m/>
    <m/>
  </r>
  <r>
    <x v="46"/>
    <x v="52"/>
    <n v="1850"/>
    <n v="80"/>
    <m/>
    <n v="1900"/>
    <n v="310.83999999999997"/>
    <n v="50"/>
    <n v="2210.84"/>
    <n v="348.45"/>
    <n v="2559.29"/>
    <s v="DD"/>
    <n v="19"/>
    <n v="100"/>
    <n v="190"/>
    <n v="13.3"/>
    <n v="285"/>
    <m/>
    <m/>
    <m/>
  </r>
  <r>
    <x v="47"/>
    <x v="52"/>
    <n v="1726"/>
    <n v="80"/>
    <m/>
    <n v="1776"/>
    <n v="277.35000000000002"/>
    <n v="50"/>
    <n v="2053.35"/>
    <n v="287"/>
    <n v="2340.35"/>
    <s v="DD"/>
    <n v="18.994652406417114"/>
    <n v="93.5"/>
    <n v="128.21390374331551"/>
    <n v="7.69"/>
    <n v="192.32085561497325"/>
    <m/>
    <m/>
    <m/>
  </r>
  <r>
    <x v="48"/>
    <x v="52"/>
    <n v="1970"/>
    <n v="80"/>
    <m/>
    <n v="2020"/>
    <n v="325.89999999999998"/>
    <n v="50"/>
    <n v="2345.9"/>
    <n v="300.08"/>
    <n v="2645.98"/>
    <s v="DD"/>
    <n v="20"/>
    <n v="101"/>
    <n v="210"/>
    <n v="12.6"/>
    <n v="315"/>
    <m/>
    <m/>
    <m/>
  </r>
  <r>
    <x v="49"/>
    <x v="52"/>
    <n v="1660"/>
    <n v="48"/>
    <m/>
    <n v="1710"/>
    <n v="264.2"/>
    <n v="50"/>
    <n v="1974.2"/>
    <n v="271.27"/>
    <n v="2245.4699999999998"/>
    <s v="DD"/>
    <n v="20"/>
    <n v="85.5"/>
    <n v="80"/>
    <n v="4"/>
    <n v="120"/>
    <m/>
    <m/>
    <m/>
  </r>
  <r>
    <x v="50"/>
    <x v="52"/>
    <n v="1639.32"/>
    <n v="45"/>
    <m/>
    <n v="1935"/>
    <n v="310.68"/>
    <n v="0"/>
    <n v="1950"/>
    <n v="297.81"/>
    <n v="2247.81"/>
    <s v="DD"/>
    <n v="23.035714285714285"/>
    <n v="84"/>
    <n v="57.589285714285708"/>
    <n v="2.88"/>
    <n v="86.383928571428555"/>
    <m/>
    <m/>
    <m/>
  </r>
  <r>
    <x v="99"/>
    <x v="52"/>
    <n v="800.88"/>
    <n v="24"/>
    <m/>
    <n v="900"/>
    <n v="99.12"/>
    <n v="0"/>
    <n v="900"/>
    <n v="139.82"/>
    <n v="1039.82"/>
    <s v="DD"/>
    <n v="37.5"/>
    <n v="24"/>
    <n v="0"/>
    <n v="0"/>
    <n v="0"/>
    <m/>
    <m/>
    <m/>
  </r>
  <r>
    <x v="16"/>
    <x v="52"/>
    <n v="500.02"/>
    <n v="24.63"/>
    <m/>
    <n v="554.17999999999995"/>
    <n v="54.16"/>
    <n v="0"/>
    <n v="554.17999999999995"/>
    <n v="88.09"/>
    <n v="642.27"/>
    <s v="DD"/>
    <e v="#DIV/0!"/>
    <m/>
    <e v="#DIV/0!"/>
    <e v="#VALUE!"/>
    <e v="#DIV/0!"/>
    <m/>
    <m/>
    <m/>
  </r>
  <r>
    <x v="16"/>
    <x v="52"/>
    <n v="700.04"/>
    <n v="32.020000000000003"/>
    <m/>
    <n v="720.45"/>
    <n v="70.41"/>
    <n v="0"/>
    <n v="770.45"/>
    <n v="114.52"/>
    <n v="884.97"/>
    <s v="DD"/>
    <e v="#DIV/0!"/>
    <m/>
    <e v="#DIV/0!"/>
    <e v="#VALUE!"/>
    <e v="#DIV/0!"/>
    <m/>
    <m/>
    <m/>
  </r>
  <r>
    <x v="16"/>
    <x v="52"/>
    <n v="300"/>
    <n v="14.78"/>
    <m/>
    <n v="332.5"/>
    <n v="32.5"/>
    <n v="0"/>
    <n v="332.5"/>
    <n v="52.87"/>
    <n v="385.37"/>
    <s v="DD"/>
    <e v="#DIV/0!"/>
    <m/>
    <e v="#DIV/0!"/>
    <e v="#VALUE!"/>
    <e v="#DIV/0!"/>
    <m/>
    <m/>
    <m/>
  </r>
  <r>
    <x v="101"/>
    <x v="52"/>
    <n v="1717.48"/>
    <n v="87.5"/>
    <m/>
    <n v="2053.13"/>
    <n v="335.65"/>
    <n v="0"/>
    <n v="2053.13"/>
    <n v="319.51"/>
    <n v="2372.64"/>
    <s v="DD"/>
    <n v="23.46434285714286"/>
    <n v="87.5"/>
    <n v="87.991285714285723"/>
    <n v="1.76"/>
    <n v="131.98692857142859"/>
    <m/>
    <m/>
    <m/>
  </r>
  <r>
    <x v="78"/>
    <x v="52"/>
    <m/>
    <n v="48"/>
    <m/>
    <m/>
    <m/>
    <m/>
    <m/>
    <m/>
    <m/>
    <m/>
    <m/>
    <m/>
    <m/>
    <n v="0"/>
    <m/>
    <m/>
    <m/>
    <m/>
  </r>
  <r>
    <x v="82"/>
    <x v="52"/>
    <m/>
    <n v="80.5"/>
    <m/>
    <m/>
    <m/>
    <m/>
    <m/>
    <m/>
    <m/>
    <m/>
    <m/>
    <m/>
    <m/>
    <n v="0"/>
    <m/>
    <m/>
    <m/>
    <m/>
  </r>
  <r>
    <x v="79"/>
    <x v="52"/>
    <m/>
    <n v="80"/>
    <m/>
    <m/>
    <m/>
    <m/>
    <m/>
    <m/>
    <m/>
    <m/>
    <m/>
    <m/>
    <m/>
    <n v="0"/>
    <m/>
    <m/>
    <m/>
    <m/>
  </r>
  <r>
    <x v="47"/>
    <x v="53"/>
    <n v="1822"/>
    <n v="53"/>
    <m/>
    <n v="1872"/>
    <n v="181.61"/>
    <n v="50"/>
    <n v="2053.61"/>
    <n v="297.55"/>
    <n v="2351.16"/>
    <s v="DD"/>
    <n v="24"/>
    <n v="78"/>
    <n v="156"/>
    <n v="9.36"/>
    <n v="234"/>
    <n v="409.55"/>
    <m/>
    <m/>
  </r>
  <r>
    <x v="48"/>
    <x v="53"/>
    <n v="2386"/>
    <n v="80"/>
    <m/>
    <n v="2436"/>
    <n v="226.2"/>
    <n v="50"/>
    <n v="2662.2"/>
    <n v="353.36"/>
    <n v="3015.56"/>
    <s v="DD"/>
    <n v="24"/>
    <n v="101.5"/>
    <n v="258"/>
    <n v="15.48"/>
    <n v="387"/>
    <m/>
    <m/>
    <m/>
  </r>
  <r>
    <x v="49"/>
    <x v="53"/>
    <n v="2266"/>
    <n v="80"/>
    <m/>
    <n v="2316"/>
    <n v="216.7"/>
    <n v="50"/>
    <n v="2532.6999999999998"/>
    <n v="341.46"/>
    <n v="2874.16"/>
    <s v="DD"/>
    <n v="24"/>
    <n v="96.5"/>
    <n v="198"/>
    <n v="9.9"/>
    <n v="297"/>
    <m/>
    <m/>
    <m/>
  </r>
  <r>
    <x v="50"/>
    <x v="53"/>
    <n v="2107.7399999999998"/>
    <n v="45"/>
    <m/>
    <n v="2365"/>
    <n v="222.26"/>
    <n v="35"/>
    <n v="2365"/>
    <n v="340"/>
    <n v="2705"/>
    <s v="DD"/>
    <n v="28.154761904761905"/>
    <n v="84"/>
    <n v="70.386904761904759"/>
    <n v="3.52"/>
    <n v="105.58035714285714"/>
    <m/>
    <m/>
    <m/>
  </r>
  <r>
    <x v="99"/>
    <x v="53"/>
    <n v="996.23"/>
    <n v="16"/>
    <m/>
    <n v="1100"/>
    <n v="103.77"/>
    <n v="0"/>
    <n v="1100"/>
    <n v="158.4"/>
    <n v="1258.4000000000001"/>
    <s v="DD"/>
    <n v="68.75"/>
    <n v="16"/>
    <n v="0"/>
    <n v="0"/>
    <n v="0"/>
    <m/>
    <m/>
    <m/>
  </r>
  <r>
    <x v="16"/>
    <x v="53"/>
    <n v="500.11"/>
    <n v="20.079999999999998"/>
    <m/>
    <n v="552"/>
    <n v="52.09"/>
    <n v="0"/>
    <n v="552.20000000000005"/>
    <n v="79.63"/>
    <n v="631.83000000000004"/>
    <s v="DD"/>
    <e v="#DIV/0!"/>
    <m/>
    <e v="#DIV/0!"/>
    <e v="#VALUE!"/>
    <e v="#DIV/0!"/>
    <m/>
    <m/>
    <m/>
  </r>
  <r>
    <x v="16"/>
    <x v="53"/>
    <n v="700.1"/>
    <n v="28.11"/>
    <m/>
    <n v="773.03"/>
    <n v="72.930000000000007"/>
    <n v="0"/>
    <n v="773.03"/>
    <n v="111.48"/>
    <n v="884.51"/>
    <s v="DD"/>
    <e v="#DIV/0!"/>
    <m/>
    <e v="#DIV/0!"/>
    <e v="#VALUE!"/>
    <e v="#DIV/0!"/>
    <m/>
    <m/>
    <m/>
  </r>
  <r>
    <x v="100"/>
    <x v="53"/>
    <n v="996.23"/>
    <n v="40"/>
    <m/>
    <n v="1100"/>
    <n v="103.77"/>
    <n v="0"/>
    <n v="1100"/>
    <n v="158.62"/>
    <n v="1258.6199999999999"/>
    <s v="DD"/>
    <n v="27.5"/>
    <n v="40"/>
    <n v="0"/>
    <n v="0"/>
    <n v="0"/>
    <m/>
    <m/>
    <m/>
  </r>
  <r>
    <x v="101"/>
    <x v="53"/>
    <n v="1905.82"/>
    <n v="72.5"/>
    <m/>
    <n v="2102"/>
    <n v="196.68"/>
    <n v="0"/>
    <n v="2102.5"/>
    <n v="295.95999999999998"/>
    <n v="2398.46"/>
    <s v="DD"/>
    <n v="28.993103448275861"/>
    <n v="72.5"/>
    <n v="0"/>
    <n v="0"/>
    <n v="0"/>
    <m/>
    <m/>
    <m/>
  </r>
  <r>
    <x v="78"/>
    <x v="53"/>
    <m/>
    <n v="80"/>
    <m/>
    <m/>
    <m/>
    <m/>
    <m/>
    <m/>
    <m/>
    <m/>
    <m/>
    <m/>
    <m/>
    <n v="0"/>
    <m/>
    <m/>
    <m/>
    <m/>
  </r>
  <r>
    <x v="82"/>
    <x v="53"/>
    <m/>
    <n v="91.5"/>
    <m/>
    <m/>
    <m/>
    <m/>
    <m/>
    <m/>
    <m/>
    <m/>
    <m/>
    <m/>
    <m/>
    <n v="0"/>
    <m/>
    <m/>
    <m/>
    <m/>
  </r>
  <r>
    <x v="79"/>
    <x v="53"/>
    <m/>
    <n v="101.5"/>
    <m/>
    <m/>
    <m/>
    <m/>
    <m/>
    <m/>
    <m/>
    <m/>
    <m/>
    <m/>
    <m/>
    <n v="0"/>
    <m/>
    <m/>
    <m/>
    <m/>
  </r>
  <r>
    <x v="54"/>
    <x v="54"/>
    <m/>
    <n v="36"/>
    <m/>
    <m/>
    <m/>
    <m/>
    <m/>
    <m/>
    <m/>
    <m/>
    <m/>
    <m/>
    <m/>
    <n v="0"/>
    <m/>
    <m/>
    <m/>
    <m/>
  </r>
  <r>
    <x v="55"/>
    <x v="54"/>
    <m/>
    <n v="53"/>
    <m/>
    <m/>
    <m/>
    <m/>
    <m/>
    <m/>
    <m/>
    <m/>
    <m/>
    <m/>
    <m/>
    <n v="0"/>
    <m/>
    <m/>
    <m/>
    <m/>
  </r>
  <r>
    <x v="56"/>
    <x v="54"/>
    <m/>
    <n v="106"/>
    <m/>
    <m/>
    <m/>
    <m/>
    <m/>
    <m/>
    <m/>
    <m/>
    <m/>
    <m/>
    <m/>
    <n v="0"/>
    <m/>
    <m/>
    <m/>
    <m/>
  </r>
  <r>
    <x v="57"/>
    <x v="54"/>
    <m/>
    <n v="106"/>
    <m/>
    <m/>
    <m/>
    <m/>
    <m/>
    <m/>
    <m/>
    <m/>
    <m/>
    <m/>
    <m/>
    <n v="0"/>
    <m/>
    <m/>
    <m/>
    <m/>
  </r>
  <r>
    <x v="58"/>
    <x v="54"/>
    <m/>
    <n v="106"/>
    <m/>
    <m/>
    <m/>
    <m/>
    <m/>
    <m/>
    <m/>
    <m/>
    <m/>
    <m/>
    <m/>
    <n v="0"/>
    <m/>
    <m/>
    <m/>
    <m/>
  </r>
  <r>
    <x v="59"/>
    <x v="54"/>
    <m/>
    <n v="93"/>
    <m/>
    <m/>
    <m/>
    <m/>
    <m/>
    <m/>
    <m/>
    <m/>
    <m/>
    <m/>
    <m/>
    <n v="0"/>
    <m/>
    <m/>
    <m/>
    <m/>
  </r>
  <r>
    <x v="0"/>
    <x v="54"/>
    <m/>
    <n v="92"/>
    <m/>
    <m/>
    <m/>
    <m/>
    <m/>
    <m/>
    <m/>
    <m/>
    <m/>
    <m/>
    <m/>
    <n v="0"/>
    <m/>
    <m/>
    <m/>
    <m/>
  </r>
  <r>
    <x v="1"/>
    <x v="54"/>
    <m/>
    <n v="106"/>
    <m/>
    <m/>
    <m/>
    <m/>
    <m/>
    <m/>
    <m/>
    <m/>
    <m/>
    <m/>
    <m/>
    <n v="0"/>
    <m/>
    <m/>
    <m/>
    <m/>
  </r>
  <r>
    <x v="2"/>
    <x v="54"/>
    <m/>
    <n v="103"/>
    <m/>
    <m/>
    <m/>
    <m/>
    <m/>
    <m/>
    <m/>
    <m/>
    <m/>
    <m/>
    <m/>
    <n v="0"/>
    <m/>
    <m/>
    <m/>
    <m/>
  </r>
  <r>
    <x v="3"/>
    <x v="54"/>
    <m/>
    <n v="72"/>
    <m/>
    <m/>
    <m/>
    <m/>
    <m/>
    <m/>
    <m/>
    <m/>
    <m/>
    <m/>
    <m/>
    <n v="0"/>
    <m/>
    <m/>
    <m/>
    <m/>
  </r>
  <r>
    <x v="4"/>
    <x v="54"/>
    <m/>
    <n v="87"/>
    <m/>
    <m/>
    <m/>
    <m/>
    <m/>
    <m/>
    <m/>
    <m/>
    <m/>
    <m/>
    <m/>
    <n v="0"/>
    <m/>
    <m/>
    <m/>
    <m/>
  </r>
  <r>
    <x v="5"/>
    <x v="54"/>
    <m/>
    <n v="89"/>
    <m/>
    <m/>
    <m/>
    <m/>
    <m/>
    <m/>
    <m/>
    <m/>
    <m/>
    <m/>
    <m/>
    <n v="0"/>
    <m/>
    <m/>
    <m/>
    <m/>
  </r>
  <r>
    <x v="6"/>
    <x v="54"/>
    <m/>
    <n v="45"/>
    <m/>
    <m/>
    <m/>
    <m/>
    <m/>
    <m/>
    <m/>
    <m/>
    <m/>
    <m/>
    <m/>
    <n v="0"/>
    <m/>
    <m/>
    <m/>
    <m/>
  </r>
  <r>
    <x v="7"/>
    <x v="54"/>
    <m/>
    <n v="83"/>
    <m/>
    <m/>
    <m/>
    <m/>
    <m/>
    <m/>
    <m/>
    <m/>
    <m/>
    <m/>
    <m/>
    <n v="0"/>
    <m/>
    <m/>
    <m/>
    <m/>
  </r>
  <r>
    <x v="8"/>
    <x v="54"/>
    <m/>
    <n v="111.5"/>
    <m/>
    <m/>
    <m/>
    <m/>
    <m/>
    <m/>
    <m/>
    <m/>
    <m/>
    <m/>
    <m/>
    <n v="0"/>
    <m/>
    <m/>
    <m/>
    <m/>
  </r>
  <r>
    <x v="9"/>
    <x v="54"/>
    <m/>
    <n v="99.75"/>
    <m/>
    <m/>
    <m/>
    <m/>
    <m/>
    <m/>
    <m/>
    <m/>
    <m/>
    <m/>
    <m/>
    <n v="0"/>
    <m/>
    <m/>
    <m/>
    <m/>
  </r>
  <r>
    <x v="10"/>
    <x v="54"/>
    <m/>
    <n v="116"/>
    <m/>
    <m/>
    <m/>
    <m/>
    <m/>
    <m/>
    <m/>
    <m/>
    <m/>
    <m/>
    <m/>
    <n v="0"/>
    <m/>
    <m/>
    <m/>
    <m/>
  </r>
  <r>
    <x v="11"/>
    <x v="54"/>
    <m/>
    <n v="103"/>
    <m/>
    <m/>
    <m/>
    <m/>
    <m/>
    <m/>
    <m/>
    <m/>
    <m/>
    <m/>
    <m/>
    <n v="0"/>
    <m/>
    <m/>
    <m/>
    <m/>
  </r>
  <r>
    <x v="36"/>
    <x v="54"/>
    <m/>
    <n v="96"/>
    <m/>
    <m/>
    <m/>
    <m/>
    <m/>
    <m/>
    <m/>
    <m/>
    <m/>
    <m/>
    <m/>
    <n v="0"/>
    <m/>
    <m/>
    <m/>
    <m/>
  </r>
  <r>
    <x v="102"/>
    <x v="54"/>
    <m/>
    <n v="24"/>
    <m/>
    <m/>
    <m/>
    <m/>
    <m/>
    <m/>
    <m/>
    <m/>
    <m/>
    <m/>
    <m/>
    <n v="0"/>
    <m/>
    <m/>
    <m/>
    <m/>
  </r>
  <r>
    <x v="17"/>
    <x v="54"/>
    <n v="2170"/>
    <n v="80"/>
    <n v="566.59"/>
    <n v="2610"/>
    <n v="566.59"/>
    <n v="440"/>
    <n v="3176.59"/>
    <n v="480.11"/>
    <n v="3656.7"/>
    <n v="100146"/>
    <n v="27.987577092511014"/>
    <n v="113.5"/>
    <n v="468.79191629955949"/>
    <n v="89.07"/>
    <n v="703.18787444933923"/>
    <n v="409.55"/>
    <m/>
    <m/>
  </r>
  <r>
    <x v="18"/>
    <x v="54"/>
    <n v="2063"/>
    <n v="80"/>
    <n v="242.48"/>
    <n v="2288"/>
    <n v="242.48"/>
    <n v="225"/>
    <n v="2530.48"/>
    <n v="415.11"/>
    <n v="2945.59"/>
    <s v="DD"/>
    <n v="25.431959798994974"/>
    <n v="99.5"/>
    <n v="247.96160804020099"/>
    <n v="44.63"/>
    <n v="371.94241206030148"/>
    <m/>
    <m/>
    <m/>
  </r>
  <r>
    <x v="19"/>
    <x v="54"/>
    <n v="2041"/>
    <n v="0"/>
    <n v="2041"/>
    <m/>
    <n v="372.13"/>
    <n v="0"/>
    <n v="2413.13"/>
    <n v="236.03"/>
    <n v="2649.16"/>
    <s v="DD"/>
    <n v="22.552486187845304"/>
    <n v="90.5"/>
    <n v="118.40055248618785"/>
    <n v="21.31"/>
    <n v="177.60082872928177"/>
    <m/>
    <m/>
    <m/>
  </r>
  <r>
    <x v="20"/>
    <x v="54"/>
    <n v="885"/>
    <n v="36"/>
    <n v="150.12"/>
    <n v="885"/>
    <n v="150.12"/>
    <n v="0"/>
    <n v="1035.1199999999999"/>
    <n v="258.47000000000003"/>
    <n v="1293.5899999999999"/>
    <s v="DD"/>
    <n v="28.75333333333333"/>
    <n v="36"/>
    <n v="0"/>
    <n v="0"/>
    <n v="0"/>
    <m/>
    <m/>
    <m/>
  </r>
  <r>
    <x v="21"/>
    <x v="54"/>
    <n v="2093"/>
    <n v="80"/>
    <n v="438.11"/>
    <n v="2093"/>
    <n v="438.11"/>
    <n v="0"/>
    <n v="2531.11"/>
    <n v="399.99"/>
    <n v="2931.1"/>
    <s v="DD"/>
    <n v="27.814395604395607"/>
    <n v="91"/>
    <n v="152.97917582417583"/>
    <n v="26.01"/>
    <n v="229.46876373626372"/>
    <m/>
    <m/>
    <m/>
  </r>
  <r>
    <x v="22"/>
    <x v="54"/>
    <n v="2093"/>
    <n v="80"/>
    <n v="599.11"/>
    <n v="1932"/>
    <n v="438.11"/>
    <n v="0"/>
    <n v="2531.11"/>
    <n v="399.99"/>
    <n v="2931.1"/>
    <s v="DD"/>
    <n v="30.132261904761908"/>
    <n v="84"/>
    <n v="60.264523809523816"/>
    <n v="9.64"/>
    <n v="90.396785714285727"/>
    <m/>
    <m/>
    <m/>
  </r>
  <r>
    <x v="49"/>
    <x v="54"/>
    <n v="920"/>
    <n v="40"/>
    <n v="3608.32"/>
    <n v="920"/>
    <n v="102.7"/>
    <n v="0"/>
    <n v="1022.7"/>
    <n v="147.19999999999999"/>
    <n v="1169.9000000000001"/>
    <s v="DD"/>
    <n v="113.208"/>
    <n v="40"/>
    <n v="0"/>
    <n v="0"/>
    <n v="0"/>
    <m/>
    <m/>
    <m/>
  </r>
  <r>
    <x v="50"/>
    <x v="54"/>
    <n v="3094.94"/>
    <n v="86"/>
    <m/>
    <n v="4154"/>
    <n v="219.06"/>
    <n v="0"/>
    <n v="3314"/>
    <n v="349.69"/>
    <n v="3663.69"/>
    <s v="DD"/>
    <n v="48.302325581395351"/>
    <n v="86"/>
    <n v="144.90697674418607"/>
    <n v="7.25"/>
    <n v="217.3604651162791"/>
    <m/>
    <m/>
    <m/>
  </r>
  <r>
    <x v="99"/>
    <x v="54"/>
    <n v="940.97"/>
    <n v="16"/>
    <m/>
    <n v="1040"/>
    <n v="99.03"/>
    <n v="0"/>
    <n v="1040"/>
    <n v="152.83000000000001"/>
    <n v="1192.83"/>
    <s v="DD"/>
    <n v="65"/>
    <n v="16"/>
    <n v="0"/>
    <n v="0"/>
    <n v="0"/>
    <m/>
    <m/>
    <m/>
  </r>
  <r>
    <x v="16"/>
    <x v="54"/>
    <n v="500.12"/>
    <n v="16"/>
    <m/>
    <n v="552.76"/>
    <n v="52.64"/>
    <n v="0"/>
    <n v="552.76"/>
    <n v="81.83"/>
    <n v="634.59"/>
    <s v="DD"/>
    <e v="#DIV/0!"/>
    <m/>
    <e v="#DIV/0!"/>
    <e v="#VALUE!"/>
    <e v="#DIV/0!"/>
    <m/>
    <m/>
    <m/>
  </r>
  <r>
    <x v="16"/>
    <x v="54"/>
    <n v="700.03"/>
    <n v="29.76"/>
    <m/>
    <n v="773.31"/>
    <n v="73.680000000000007"/>
    <n v="0"/>
    <n v="773.71"/>
    <n v="114.54"/>
    <n v="888.25"/>
    <s v="DD"/>
    <e v="#DIV/0!"/>
    <m/>
    <e v="#DIV/0!"/>
    <e v="#VALUE!"/>
    <e v="#DIV/0!"/>
    <m/>
    <m/>
    <m/>
  </r>
  <r>
    <x v="16"/>
    <x v="54"/>
    <n v="300"/>
    <n v="12.75"/>
    <m/>
    <n v="331.58"/>
    <n v="31.58"/>
    <n v="0"/>
    <n v="331.58"/>
    <n v="49.09"/>
    <n v="380.67"/>
    <s v="DD"/>
    <e v="#DIV/0!"/>
    <m/>
    <e v="#DIV/0!"/>
    <e v="#VALUE!"/>
    <e v="#DIV/0!"/>
    <m/>
    <m/>
    <m/>
  </r>
  <r>
    <x v="101"/>
    <x v="54"/>
    <n v="2148.17"/>
    <n v="87.5"/>
    <m/>
    <n v="2372.5"/>
    <n v="224.33"/>
    <n v="0"/>
    <n v="2372.5"/>
    <n v="344.36"/>
    <n v="2716.86"/>
    <s v="DD"/>
    <n v="27.114285714285714"/>
    <n v="87.5"/>
    <n v="101.67857142857143"/>
    <n v="2.0299999999999998"/>
    <n v="152.51785714285714"/>
    <m/>
    <m/>
    <m/>
  </r>
  <r>
    <x v="16"/>
    <x v="55"/>
    <n v="1981"/>
    <n v="80"/>
    <n v="216.33"/>
    <n v="1980.8"/>
    <n v="216.13"/>
    <n v="0"/>
    <n v="2197.13"/>
    <n v="381.57"/>
    <n v="2578.6999999999998"/>
    <n v="100134"/>
    <e v="#DIV/0!"/>
    <m/>
    <e v="#DIV/0!"/>
    <e v="#VALUE!"/>
    <e v="#DIV/0!"/>
    <n v="409.55"/>
    <m/>
    <m/>
  </r>
  <r>
    <x v="17"/>
    <x v="55"/>
    <n v="2163"/>
    <n v="80"/>
    <n v="1574.92"/>
    <n v="1980.8"/>
    <n v="807.72"/>
    <n v="585"/>
    <n v="3555.72"/>
    <n v="518.26"/>
    <n v="4073.98"/>
    <n v="100142"/>
    <n v="29.754979079497911"/>
    <n v="119.5"/>
    <n v="587.66083682008377"/>
    <n v="111.66"/>
    <n v="881.49125523012572"/>
    <m/>
    <m/>
    <m/>
  </r>
  <r>
    <x v="18"/>
    <x v="55"/>
    <n v="2357"/>
    <n v="80"/>
    <n v="248.39"/>
    <n v="2357"/>
    <n v="248.39"/>
    <n v="0"/>
    <n v="2605.39"/>
    <n v="414.47"/>
    <n v="3019.86"/>
    <s v="DD"/>
    <n v="25.418439024390242"/>
    <n v="102.5"/>
    <n v="285.95743902439023"/>
    <n v="51.47"/>
    <n v="428.93615853658537"/>
    <m/>
    <m/>
    <m/>
  </r>
  <r>
    <x v="19"/>
    <x v="55"/>
    <n v="1818"/>
    <n v="49"/>
    <n v="1818"/>
    <m/>
    <n v="350.36"/>
    <n v="0"/>
    <n v="2168.36"/>
    <n v="205.14"/>
    <n v="2373.5"/>
    <s v="DD"/>
    <n v="21.642857142857142"/>
    <n v="84"/>
    <n v="97.392857142857139"/>
    <n v="17.53"/>
    <n v="146.08928571428572"/>
    <m/>
    <m/>
    <m/>
  </r>
  <r>
    <x v="20"/>
    <x v="55"/>
    <n v="2150"/>
    <n v="80"/>
    <n v="721.78"/>
    <n v="1980.8"/>
    <n v="552.58000000000004"/>
    <n v="0"/>
    <n v="2702.58"/>
    <n v="416.19"/>
    <n v="3118.77"/>
    <s v="DD"/>
    <n v="28.904598930481281"/>
    <n v="93.5"/>
    <n v="195.10604278074865"/>
    <n v="33.17"/>
    <n v="292.65906417112296"/>
    <m/>
    <m/>
    <m/>
  </r>
  <r>
    <x v="21"/>
    <x v="55"/>
    <n v="1743"/>
    <n v="80"/>
    <n v="640.48"/>
    <n v="1980.8"/>
    <n v="528.28"/>
    <n v="350"/>
    <n v="2621.2800000000002"/>
    <n v="408.51"/>
    <n v="3029.79"/>
    <s v="DD"/>
    <n v="28.805274725274721"/>
    <n v="91"/>
    <n v="158.42901098901098"/>
    <n v="26.93"/>
    <n v="237.64351648351646"/>
    <m/>
    <m/>
    <m/>
  </r>
  <r>
    <x v="22"/>
    <x v="55"/>
    <n v="1984"/>
    <n v="80"/>
    <n v="542.04999999999995"/>
    <n v="1980.8"/>
    <n v="498.85"/>
    <n v="40"/>
    <n v="2522.85"/>
    <n v="399.2"/>
    <n v="2922.05"/>
    <s v="DD"/>
    <n v="28.668749999999999"/>
    <n v="88"/>
    <n v="114.675"/>
    <n v="18.350000000000001"/>
    <n v="172.01249999999999"/>
    <m/>
    <m/>
    <m/>
  </r>
  <r>
    <x v="23"/>
    <x v="55"/>
    <n v="1572"/>
    <n v="80"/>
    <n v="410.78"/>
    <n v="1980.8"/>
    <n v="459.58"/>
    <n v="360"/>
    <n v="2391.58"/>
    <n v="382.71"/>
    <n v="2774.29"/>
    <s v="DD"/>
    <n v="28.471190476190475"/>
    <n v="84"/>
    <n v="56.942380952380951"/>
    <n v="9.11"/>
    <n v="85.41357142857143"/>
    <m/>
    <m/>
    <m/>
  </r>
  <r>
    <x v="24"/>
    <x v="55"/>
    <n v="2116"/>
    <n v="80"/>
    <n v="673.29"/>
    <n v="1980.8"/>
    <n v="538.09"/>
    <n v="0"/>
    <n v="2654.09"/>
    <n v="407.12"/>
    <n v="3061.21"/>
    <s v="DD"/>
    <n v="28.848804347826089"/>
    <n v="92"/>
    <n v="173.09282608695653"/>
    <n v="27.69"/>
    <n v="259.63923913043482"/>
    <m/>
    <m/>
    <m/>
  </r>
  <r>
    <x v="27"/>
    <x v="55"/>
    <n v="2189"/>
    <n v="80"/>
    <n v="1308.0999999999999"/>
    <n v="1980.8"/>
    <n v="727.9"/>
    <n v="372"/>
    <n v="3288.9"/>
    <n v="466.07"/>
    <n v="3754.97"/>
    <s v="DD"/>
    <n v="31.472727272727269"/>
    <n v="104.5"/>
    <n v="385.54090909090905"/>
    <n v="57.83"/>
    <n v="578.31136363636358"/>
    <m/>
    <m/>
    <m/>
  </r>
  <r>
    <x v="28"/>
    <x v="55"/>
    <n v="2038"/>
    <n v="80"/>
    <n v="604.82000000000005"/>
    <n v="1980.8"/>
    <n v="517.62"/>
    <n v="30"/>
    <n v="2585.62"/>
    <n v="400.76"/>
    <n v="2986.38"/>
    <s v="DD"/>
    <n v="28.889608938547486"/>
    <n v="89.5"/>
    <n v="137.22564245810057"/>
    <n v="20.58"/>
    <n v="205.83846368715086"/>
    <m/>
    <m/>
    <m/>
  </r>
  <r>
    <x v="16"/>
    <x v="55"/>
    <n v="813"/>
    <n v="50"/>
    <n v="64.489999999999995"/>
    <n v="1238"/>
    <n v="129.49"/>
    <n v="360"/>
    <n v="1302.49"/>
    <n v="221.33"/>
    <n v="1523.82"/>
    <s v="DD"/>
    <e v="#DIV/0!"/>
    <m/>
    <e v="#DIV/0!"/>
    <e v="#VALUE!"/>
    <e v="#DIV/0!"/>
    <m/>
    <m/>
    <m/>
  </r>
  <r>
    <x v="30"/>
    <x v="55"/>
    <n v="1741"/>
    <n v="77"/>
    <n v="60.87"/>
    <n v="1906.52"/>
    <n v="196.39"/>
    <n v="30"/>
    <n v="1967.39"/>
    <n v="337.29"/>
    <n v="2304.6799999999998"/>
    <s v="DD"/>
    <n v="25.55051948051948"/>
    <n v="77"/>
    <n v="0"/>
    <n v="0"/>
    <n v="0"/>
    <m/>
    <m/>
    <m/>
  </r>
  <r>
    <x v="31"/>
    <x v="55"/>
    <n v="1771"/>
    <n v="45"/>
    <n v="223.34"/>
    <n v="1771"/>
    <n v="223.34"/>
    <n v="0"/>
    <n v="1994.34"/>
    <n v="339.8"/>
    <n v="2334.14"/>
    <s v="DD"/>
    <n v="25.900519480519481"/>
    <n v="77"/>
    <n v="64.751298701298708"/>
    <n v="8.42"/>
    <n v="97.126948051948062"/>
    <m/>
    <m/>
    <m/>
  </r>
  <r>
    <x v="32"/>
    <x v="55"/>
    <n v="1854"/>
    <n v="80"/>
    <n v="332.84"/>
    <n v="2254"/>
    <n v="332.88"/>
    <n v="399.96"/>
    <n v="2586.84"/>
    <n v="400.86"/>
    <n v="2987.7"/>
    <s v="DD"/>
    <n v="26.396326530612246"/>
    <n v="98"/>
    <n v="237.56693877551021"/>
    <n v="30.88"/>
    <n v="356.35040816326534"/>
    <m/>
    <m/>
    <m/>
  </r>
  <r>
    <x v="33"/>
    <x v="55"/>
    <n v="2514"/>
    <n v="80"/>
    <n v="409.93"/>
    <n v="2564"/>
    <n v="409.93"/>
    <n v="50"/>
    <n v="2973.93"/>
    <n v="436.81"/>
    <n v="3410.74"/>
    <s v="DD"/>
    <n v="26.672017937219728"/>
    <n v="111.5"/>
    <n v="420.08428251121069"/>
    <n v="50.41"/>
    <n v="630.12642376681606"/>
    <m/>
    <m/>
    <m/>
  </r>
  <r>
    <x v="34"/>
    <x v="55"/>
    <n v="1865"/>
    <n v="80"/>
    <n v="335.64"/>
    <n v="2265"/>
    <n v="335.64"/>
    <n v="400"/>
    <n v="2600.64"/>
    <n v="402.14"/>
    <n v="3002.78"/>
    <s v="DD"/>
    <n v="26.402436548223349"/>
    <n v="98.5"/>
    <n v="244.22253807106597"/>
    <n v="29.31"/>
    <n v="366.33380710659895"/>
    <m/>
    <m/>
    <m/>
  </r>
  <r>
    <x v="35"/>
    <x v="55"/>
    <n v="2047"/>
    <n v="50"/>
    <n v="285.45"/>
    <n v="2047"/>
    <n v="285.45"/>
    <n v="0"/>
    <n v="2332.4499999999998"/>
    <n v="377.23"/>
    <n v="2709.68"/>
    <s v="DD"/>
    <n v="26.207303370786516"/>
    <n v="89"/>
    <n v="131.03651685393257"/>
    <n v="14.41"/>
    <n v="196.55477528089887"/>
    <m/>
    <m/>
    <m/>
  </r>
  <r>
    <x v="37"/>
    <x v="55"/>
    <n v="2156"/>
    <n v="80"/>
    <n v="407.93"/>
    <n v="2556"/>
    <n v="407.93"/>
    <n v="400"/>
    <n v="2963.93"/>
    <n v="435.88"/>
    <n v="3399.81"/>
    <s v="DD"/>
    <n v="27.830328638497651"/>
    <n v="106.5"/>
    <n v="368.75185446009385"/>
    <n v="40.56"/>
    <n v="553.12778169014075"/>
    <m/>
    <m/>
    <m/>
  </r>
  <r>
    <x v="38"/>
    <x v="55"/>
    <n v="2362"/>
    <n v="80"/>
    <n v="372.17"/>
    <n v="2412"/>
    <n v="372.17"/>
    <n v="50"/>
    <n v="2784.17"/>
    <n v="402.81"/>
    <n v="3186.98"/>
    <s v="DD"/>
    <n v="27.295784313725491"/>
    <n v="102"/>
    <n v="300.25362745098039"/>
    <n v="30.03"/>
    <n v="450.38044117647058"/>
    <m/>
    <m/>
    <m/>
  </r>
  <r>
    <x v="39"/>
    <x v="55"/>
    <n v="1713"/>
    <n v="49.5"/>
    <n v="294.39"/>
    <n v="2088"/>
    <n v="294.39"/>
    <n v="375"/>
    <n v="2382.39"/>
    <n v="342.79"/>
    <n v="2725.18"/>
    <s v="DD"/>
    <n v="27.383793103448273"/>
    <n v="87"/>
    <n v="130.07301724137929"/>
    <n v="13.01"/>
    <n v="195.10952586206895"/>
    <m/>
    <m/>
    <m/>
  </r>
  <r>
    <x v="40"/>
    <x v="55"/>
    <n v="2266"/>
    <n v="80"/>
    <n v="348.29"/>
    <n v="2316"/>
    <n v="348.29"/>
    <n v="50"/>
    <n v="2664.29"/>
    <n v="364.35"/>
    <n v="3028.64"/>
    <s v="DD"/>
    <n v="27.609222797927462"/>
    <n v="96.5"/>
    <n v="227.77608808290157"/>
    <n v="20.5"/>
    <n v="341.66413212435236"/>
    <m/>
    <m/>
    <m/>
  </r>
  <r>
    <x v="41"/>
    <x v="55"/>
    <n v="1688"/>
    <n v="51"/>
    <n v="294.41000000000003"/>
    <n v="2088"/>
    <n v="294.41000000000003"/>
    <n v="400"/>
    <n v="2382.41"/>
    <n v="342.8"/>
    <n v="2725.21"/>
    <s v="DD"/>
    <n v="27.384022988505745"/>
    <n v="87"/>
    <n v="150.61212643678161"/>
    <n v="13.56"/>
    <n v="225.9181896551724"/>
    <m/>
    <m/>
    <m/>
  </r>
  <r>
    <x v="42"/>
    <x v="55"/>
    <n v="1794"/>
    <n v="49.5"/>
    <n v="236.83"/>
    <n v="1824"/>
    <n v="236.83"/>
    <n v="30"/>
    <n v="2060.83"/>
    <n v="318.2"/>
    <n v="2379.0300000000002"/>
    <s v="DD"/>
    <n v="27.116184210526313"/>
    <n v="76"/>
    <n v="128.801875"/>
    <n v="11.59"/>
    <n v="193.20281249999999"/>
    <m/>
    <m/>
    <m/>
  </r>
  <r>
    <x v="43"/>
    <x v="55"/>
    <n v="2194"/>
    <n v="80"/>
    <n v="330.41"/>
    <n v="2244"/>
    <n v="330.41"/>
    <n v="50"/>
    <n v="2574.41"/>
    <n v="357.48"/>
    <n v="2931.89"/>
    <s v="DD"/>
    <n v="29.25465909090909"/>
    <n v="88"/>
    <n v="117.01863636363636"/>
    <n v="9.36"/>
    <n v="175.52795454545455"/>
    <m/>
    <m/>
    <m/>
  </r>
  <r>
    <x v="44"/>
    <x v="55"/>
    <n v="2644"/>
    <n v="49"/>
    <n v="424.28"/>
    <n v="2644"/>
    <n v="424.28"/>
    <n v="0"/>
    <n v="3068.28"/>
    <n v="463.99"/>
    <n v="3532.27"/>
    <s v="DD"/>
    <n v="37.879999999999995"/>
    <n v="81"/>
    <n v="170.45999999999998"/>
    <n v="13.64"/>
    <n v="255.68999999999997"/>
    <m/>
    <m/>
    <m/>
  </r>
  <r>
    <x v="45"/>
    <x v="55"/>
    <n v="2313"/>
    <n v="51.5"/>
    <m/>
    <n v="2413"/>
    <n v="296.41000000000003"/>
    <n v="100"/>
    <n v="2709.41"/>
    <n v="399.19"/>
    <n v="3108.6"/>
    <s v="DD"/>
    <n v="28.898203592814372"/>
    <n v="83.5"/>
    <n v="166.16467065868264"/>
    <n v="11.63"/>
    <n v="249.24700598802394"/>
    <m/>
    <m/>
    <m/>
  </r>
  <r>
    <x v="46"/>
    <x v="55"/>
    <n v="2268"/>
    <n v="80"/>
    <m/>
    <n v="2268"/>
    <n v="270.45"/>
    <n v="0"/>
    <n v="2538.4499999999998"/>
    <n v="380.34"/>
    <n v="2918.79"/>
    <s v="DD"/>
    <n v="24"/>
    <n v="94.5"/>
    <n v="174"/>
    <n v="12.18"/>
    <n v="261"/>
    <m/>
    <m/>
    <m/>
  </r>
  <r>
    <x v="47"/>
    <x v="55"/>
    <n v="2050"/>
    <n v="80"/>
    <m/>
    <n v="2100"/>
    <n v="231.55"/>
    <n v="50"/>
    <n v="2331.5500000000002"/>
    <n v="307.51"/>
    <n v="2639.06"/>
    <s v="DD"/>
    <n v="24"/>
    <n v="87.5"/>
    <n v="90"/>
    <n v="5.4"/>
    <n v="135"/>
    <m/>
    <m/>
    <m/>
  </r>
  <r>
    <x v="48"/>
    <x v="55"/>
    <n v="1798"/>
    <n v="41"/>
    <m/>
    <n v="1848"/>
    <n v="186.44"/>
    <n v="50"/>
    <n v="2034.44"/>
    <n v="284.10000000000002"/>
    <n v="2318.54"/>
    <s v="DD"/>
    <n v="24"/>
    <n v="77"/>
    <n v="12"/>
    <n v="0.72"/>
    <n v="18"/>
    <m/>
    <m/>
    <m/>
  </r>
  <r>
    <x v="49"/>
    <x v="55"/>
    <n v="2264"/>
    <n v="80"/>
    <m/>
    <n v="2314"/>
    <n v="269.86"/>
    <n v="50"/>
    <n v="2583.86"/>
    <n v="327.38"/>
    <n v="2911.24"/>
    <s v="DD"/>
    <n v="26"/>
    <n v="89"/>
    <n v="117"/>
    <n v="5.85"/>
    <n v="175.5"/>
    <m/>
    <m/>
    <m/>
  </r>
  <r>
    <x v="50"/>
    <x v="55"/>
    <n v="2055.52"/>
    <n v="79"/>
    <m/>
    <n v="2370"/>
    <n v="279.48"/>
    <n v="35"/>
    <n v="2370"/>
    <n v="331.19"/>
    <n v="2701.19"/>
    <s v="DD"/>
    <n v="30"/>
    <n v="79"/>
    <n v="0"/>
    <n v="0"/>
    <n v="0"/>
    <m/>
    <m/>
    <m/>
  </r>
  <r>
    <x v="99"/>
    <x v="55"/>
    <n v="1088.32"/>
    <n v="24"/>
    <m/>
    <n v="1200"/>
    <n v="111.68"/>
    <n v="0"/>
    <n v="1200"/>
    <n v="167.69"/>
    <n v="1367.69"/>
    <s v="DD"/>
    <n v="50"/>
    <n v="24"/>
    <n v="0"/>
    <n v="0"/>
    <n v="0"/>
    <m/>
    <m/>
    <m/>
  </r>
  <r>
    <x v="16"/>
    <x v="55"/>
    <n v="500.08"/>
    <n v="18.38"/>
    <m/>
    <n v="551.4"/>
    <n v="51.32"/>
    <n v="0"/>
    <n v="551.4"/>
    <n v="76.459999999999994"/>
    <n v="627.86"/>
    <s v="DD"/>
    <e v="#DIV/0!"/>
    <m/>
    <e v="#DIV/0!"/>
    <e v="#VALUE!"/>
    <e v="#DIV/0!"/>
    <m/>
    <m/>
    <m/>
  </r>
  <r>
    <x v="16"/>
    <x v="55"/>
    <n v="700"/>
    <n v="25.73"/>
    <m/>
    <n v="771.83"/>
    <n v="71.83"/>
    <n v="0"/>
    <n v="771.83"/>
    <n v="107.03"/>
    <n v="878.86"/>
    <s v="DD"/>
    <e v="#DIV/0!"/>
    <m/>
    <e v="#DIV/0!"/>
    <e v="#VALUE!"/>
    <e v="#DIV/0!"/>
    <m/>
    <m/>
    <m/>
  </r>
  <r>
    <x v="100"/>
    <x v="55"/>
    <n v="435.34"/>
    <n v="16"/>
    <m/>
    <n v="480"/>
    <n v="44.66"/>
    <n v="0"/>
    <n v="480"/>
    <n v="66.56"/>
    <n v="546.55999999999995"/>
    <s v="DD"/>
    <n v="30"/>
    <n v="16"/>
    <n v="0"/>
    <n v="0"/>
    <n v="0"/>
    <m/>
    <m/>
    <m/>
  </r>
  <r>
    <x v="101"/>
    <x v="55"/>
    <n v="1921.08"/>
    <n v="72"/>
    <m/>
    <n v="2160"/>
    <n v="238.92"/>
    <n v="0"/>
    <n v="2160"/>
    <n v="299.52999999999997"/>
    <n v="2459.5300000000002"/>
    <s v="DD"/>
    <n v="30"/>
    <n v="72"/>
    <n v="0"/>
    <n v="0"/>
    <n v="0"/>
    <m/>
    <m/>
    <m/>
  </r>
  <r>
    <x v="78"/>
    <x v="55"/>
    <m/>
    <n v="48"/>
    <m/>
    <m/>
    <m/>
    <m/>
    <m/>
    <m/>
    <m/>
    <m/>
    <m/>
    <m/>
    <m/>
    <n v="0"/>
    <m/>
    <m/>
    <m/>
    <m/>
  </r>
  <r>
    <x v="35"/>
    <x v="56"/>
    <n v="621"/>
    <n v="34.5"/>
    <n v="73.48"/>
    <n v="621"/>
    <n v="73.48"/>
    <n v="0"/>
    <n v="694.48"/>
    <n v="138.91999999999999"/>
    <n v="833.4"/>
    <s v="DD"/>
    <n v="20.129855072463769"/>
    <n v="34.5"/>
    <n v="0"/>
    <n v="0"/>
    <n v="0"/>
    <n v="409.55"/>
    <m/>
    <m/>
  </r>
  <r>
    <x v="37"/>
    <x v="56"/>
    <n v="1812"/>
    <n v="80"/>
    <n v="266.92"/>
    <n v="1962"/>
    <n v="266.92"/>
    <n v="150"/>
    <n v="2228.92"/>
    <n v="380.98"/>
    <n v="2609.9"/>
    <s v="DD"/>
    <n v="20.448807339449541"/>
    <n v="109"/>
    <n v="296.50770642201832"/>
    <n v="32.619999999999997"/>
    <n v="444.76155963302745"/>
    <m/>
    <m/>
    <m/>
  </r>
  <r>
    <x v="38"/>
    <x v="56"/>
    <n v="1810"/>
    <n v="80"/>
    <n v="280.64999999999998"/>
    <n v="2025"/>
    <n v="280.64999999999998"/>
    <n v="215"/>
    <n v="2305.65"/>
    <n v="388.56"/>
    <n v="2694.21"/>
    <s v="DD"/>
    <n v="20.494666666666667"/>
    <n v="112.5"/>
    <n v="333.03833333333336"/>
    <n v="33.299999999999997"/>
    <n v="499.5575"/>
    <m/>
    <m/>
    <m/>
  </r>
  <r>
    <x v="39"/>
    <x v="56"/>
    <n v="1710"/>
    <n v="80"/>
    <n v="211.96"/>
    <n v="1710"/>
    <n v="211.96"/>
    <n v="0"/>
    <n v="1921.96"/>
    <n v="349.72"/>
    <n v="2271.6799999999998"/>
    <s v="DD"/>
    <n v="20.231157894736842"/>
    <n v="95"/>
    <n v="151.73368421052632"/>
    <n v="15.17"/>
    <n v="227.60052631578947"/>
    <m/>
    <m/>
    <m/>
  </r>
  <r>
    <x v="40"/>
    <x v="56"/>
    <n v="1840"/>
    <n v="80"/>
    <n v="251.23"/>
    <n v="1890"/>
    <n v="251.23"/>
    <n v="50"/>
    <n v="2141.23"/>
    <n v="359.47"/>
    <n v="2500.6999999999998"/>
    <s v="DD"/>
    <n v="20.392666666666667"/>
    <n v="105"/>
    <n v="254.90833333333333"/>
    <n v="22.94"/>
    <n v="382.36250000000001"/>
    <m/>
    <m/>
    <m/>
  </r>
  <r>
    <x v="41"/>
    <x v="56"/>
    <n v="1959"/>
    <n v="80"/>
    <n v="266.26"/>
    <n v="1959"/>
    <n v="266.26"/>
    <n v="0"/>
    <n v="2225.2600000000002"/>
    <n v="367.26"/>
    <n v="2592.52"/>
    <s v="DD"/>
    <n v="22.141890547263685"/>
    <n v="100.5"/>
    <n v="226.95437810945276"/>
    <n v="20.43"/>
    <n v="340.43156716417911"/>
    <m/>
    <m/>
    <m/>
  </r>
  <r>
    <x v="42"/>
    <x v="56"/>
    <n v="1463"/>
    <n v="49.5"/>
    <n v="171.69"/>
    <n v="1463"/>
    <n v="171.69"/>
    <n v="0"/>
    <n v="1634.69"/>
    <n v="312.42"/>
    <n v="1947.11"/>
    <s v="DD"/>
    <n v="21.229740259740261"/>
    <n v="77"/>
    <n v="100.84126623376623"/>
    <n v="9.08"/>
    <n v="151.26189935064934"/>
    <m/>
    <m/>
    <m/>
  </r>
  <r>
    <x v="62"/>
    <x v="56"/>
    <n v="1871"/>
    <n v="80"/>
    <n v="247.07"/>
    <n v="1871"/>
    <n v="247.07"/>
    <n v="0"/>
    <n v="2118.0700000000002"/>
    <n v="357.3"/>
    <n v="2475.37"/>
    <n v="100191"/>
    <n v="21.503248730964469"/>
    <n v="98.5"/>
    <n v="198.90505076142134"/>
    <n v="15.91"/>
    <n v="298.35757614213202"/>
    <m/>
    <m/>
    <m/>
  </r>
  <r>
    <x v="44"/>
    <x v="56"/>
    <n v="684"/>
    <n v="36"/>
    <n v="79.45"/>
    <n v="684"/>
    <n v="79.45"/>
    <n v="0"/>
    <n v="763.45"/>
    <n v="147.74"/>
    <n v="911.19"/>
    <s v="DD"/>
    <n v="21.206944444444446"/>
    <n v="36"/>
    <n v="0"/>
    <n v="0"/>
    <n v="0"/>
    <m/>
    <m/>
    <m/>
  </r>
  <r>
    <x v="46"/>
    <x v="56"/>
    <n v="1508"/>
    <n v="52.5"/>
    <m/>
    <n v="1520"/>
    <n v="162.62"/>
    <n v="12"/>
    <n v="1682.62"/>
    <n v="310.86"/>
    <n v="1993.48"/>
    <s v="DD"/>
    <n v="20"/>
    <n v="76"/>
    <n v="125"/>
    <n v="8.75"/>
    <n v="187.5"/>
    <m/>
    <m/>
    <m/>
  </r>
  <r>
    <x v="47"/>
    <x v="56"/>
    <n v="1885"/>
    <n v="80"/>
    <m/>
    <n v="1920"/>
    <n v="199.33"/>
    <n v="35"/>
    <n v="2119.33"/>
    <n v="302.31"/>
    <n v="2421.64"/>
    <s v="DD"/>
    <n v="20"/>
    <n v="96"/>
    <n v="160"/>
    <n v="9.6"/>
    <n v="240"/>
    <m/>
    <m/>
    <m/>
  </r>
  <r>
    <x v="48"/>
    <x v="56"/>
    <n v="1960"/>
    <n v="80"/>
    <m/>
    <n v="1960"/>
    <n v="206.49"/>
    <n v="0"/>
    <n v="2166.4899999999998"/>
    <n v="306.26"/>
    <n v="2472.75"/>
    <s v="DD"/>
    <n v="20"/>
    <n v="98"/>
    <n v="180"/>
    <n v="10.8"/>
    <n v="270"/>
    <m/>
    <m/>
    <m/>
  </r>
  <r>
    <x v="49"/>
    <x v="56"/>
    <n v="1120"/>
    <n v="41.5"/>
    <m/>
    <n v="1120"/>
    <n v="122.18"/>
    <n v="0"/>
    <n v="1242.18"/>
    <n v="221.48"/>
    <n v="1463.66"/>
    <s v="DD"/>
    <n v="18.983050847457626"/>
    <n v="59"/>
    <n v="14.23728813559322"/>
    <n v="0.71"/>
    <n v="21.35593220338983"/>
    <m/>
    <m/>
    <m/>
  </r>
  <r>
    <x v="50"/>
    <x v="56"/>
    <n v="1731.29"/>
    <n v="45"/>
    <m/>
    <n v="1935"/>
    <n v="203.71"/>
    <n v="0"/>
    <n v="1935"/>
    <n v="297.81"/>
    <n v="2232.81"/>
    <s v="DD"/>
    <n v="23.035714285714285"/>
    <n v="84"/>
    <n v="57.589285714285708"/>
    <n v="2.88"/>
    <n v="86.383928571428555"/>
    <m/>
    <m/>
    <m/>
  </r>
  <r>
    <x v="99"/>
    <x v="56"/>
    <n v="812.03"/>
    <n v="24"/>
    <m/>
    <n v="900"/>
    <n v="87.97"/>
    <n v="0"/>
    <n v="900"/>
    <n v="139.82"/>
    <n v="1039.82"/>
    <s v="DD"/>
    <n v="37.5"/>
    <n v="24"/>
    <n v="0"/>
    <n v="0"/>
    <n v="0"/>
    <m/>
    <m/>
    <m/>
  </r>
  <r>
    <x v="16"/>
    <x v="56"/>
    <n v="500.02"/>
    <n v="24.63"/>
    <m/>
    <n v="554.17999999999995"/>
    <n v="54.16"/>
    <n v="0"/>
    <n v="554.17999999999995"/>
    <n v="88.09"/>
    <n v="642.27"/>
    <s v="DD"/>
    <e v="#DIV/0!"/>
    <m/>
    <e v="#DIV/0!"/>
    <e v="#VALUE!"/>
    <e v="#DIV/0!"/>
    <m/>
    <m/>
    <m/>
  </r>
  <r>
    <x v="16"/>
    <x v="56"/>
    <n v="700.08"/>
    <n v="34.479999999999997"/>
    <m/>
    <n v="775.91"/>
    <n v="75.83"/>
    <n v="0"/>
    <n v="775.91"/>
    <n v="123.34"/>
    <n v="899.25"/>
    <s v="DD"/>
    <e v="#DIV/0!"/>
    <m/>
    <e v="#DIV/0!"/>
    <e v="#VALUE!"/>
    <e v="#DIV/0!"/>
    <m/>
    <m/>
    <m/>
  </r>
  <r>
    <x v="100"/>
    <x v="56"/>
    <n v="812.03"/>
    <n v="40"/>
    <m/>
    <n v="900"/>
    <n v="87.97"/>
    <n v="0"/>
    <n v="900"/>
    <n v="143.06"/>
    <n v="1043.06"/>
    <s v="DD"/>
    <n v="22.5"/>
    <n v="40"/>
    <n v="0"/>
    <n v="0"/>
    <n v="0"/>
    <m/>
    <m/>
    <m/>
  </r>
  <r>
    <x v="101"/>
    <x v="56"/>
    <n v="1471.8"/>
    <n v="40.5"/>
    <m/>
    <n v="1631.25"/>
    <n v="159.44999999999999"/>
    <n v="0"/>
    <n v="1631.25"/>
    <n v="259.31"/>
    <n v="1890.56"/>
    <s v="DD"/>
    <n v="22.5"/>
    <n v="72.5"/>
    <n v="5.625"/>
    <n v="0.11"/>
    <n v="8.4375"/>
    <m/>
    <m/>
    <m/>
  </r>
  <r>
    <x v="78"/>
    <x v="56"/>
    <m/>
    <n v="80"/>
    <m/>
    <m/>
    <m/>
    <m/>
    <m/>
    <m/>
    <m/>
    <m/>
    <m/>
    <m/>
    <m/>
    <n v="0"/>
    <m/>
    <m/>
    <m/>
    <m/>
  </r>
  <r>
    <x v="82"/>
    <x v="56"/>
    <m/>
    <n v="94"/>
    <m/>
    <m/>
    <m/>
    <m/>
    <m/>
    <m/>
    <m/>
    <m/>
    <m/>
    <m/>
    <m/>
    <n v="0"/>
    <m/>
    <m/>
    <m/>
    <m/>
  </r>
  <r>
    <x v="79"/>
    <x v="56"/>
    <m/>
    <n v="96"/>
    <m/>
    <m/>
    <m/>
    <m/>
    <m/>
    <m/>
    <m/>
    <m/>
    <m/>
    <m/>
    <m/>
    <n v="0"/>
    <m/>
    <m/>
    <m/>
    <m/>
  </r>
  <r>
    <x v="16"/>
    <x v="57"/>
    <n v="2798"/>
    <n v="80"/>
    <n v="275.58999999999997"/>
    <n v="2800"/>
    <n v="277.79000000000002"/>
    <n v="0"/>
    <n v="3075.79"/>
    <n v="469.97"/>
    <n v="3545.76"/>
    <s v="DD"/>
    <e v="#DIV/0!"/>
    <m/>
    <e v="#DIV/0!"/>
    <e v="#VALUE!"/>
    <e v="#DIV/0!"/>
    <n v="409.55"/>
    <m/>
    <m/>
  </r>
  <r>
    <x v="16"/>
    <x v="57"/>
    <n v="1610"/>
    <n v="70"/>
    <n v="75.430000000000007"/>
    <n v="1890"/>
    <n v="355.43"/>
    <n v="0"/>
    <n v="1965.43"/>
    <n v="338.2"/>
    <n v="2303.63"/>
    <s v="DD"/>
    <e v="#DIV/0!"/>
    <m/>
    <e v="#DIV/0!"/>
    <e v="#VALUE!"/>
    <e v="#DIV/0!"/>
    <m/>
    <m/>
    <m/>
  </r>
  <r>
    <x v="16"/>
    <x v="57"/>
    <n v="2599"/>
    <n v="80"/>
    <n v="402.9"/>
    <n v="2800"/>
    <n v="603.9"/>
    <n v="0"/>
    <n v="3202.9"/>
    <n v="475.28"/>
    <n v="3678.18"/>
    <s v="DD"/>
    <e v="#DIV/0!"/>
    <m/>
    <e v="#DIV/0!"/>
    <e v="#VALUE!"/>
    <e v="#DIV/0!"/>
    <m/>
    <m/>
    <m/>
  </r>
  <r>
    <x v="16"/>
    <x v="57"/>
    <n v="1058"/>
    <n v="46.5"/>
    <n v="102.61"/>
    <n v="1162.5"/>
    <n v="207.11"/>
    <n v="0"/>
    <n v="1265.1099999999999"/>
    <n v="220.58"/>
    <n v="1485.69"/>
    <s v="DD"/>
    <e v="#DIV/0!"/>
    <m/>
    <e v="#DIV/0!"/>
    <e v="#VALUE!"/>
    <e v="#DIV/0!"/>
    <m/>
    <m/>
    <m/>
  </r>
  <r>
    <x v="16"/>
    <x v="57"/>
    <n v="1776.42"/>
    <n v="80"/>
    <n v="55"/>
    <n v="1920"/>
    <n v="198.58"/>
    <n v="0"/>
    <n v="1975"/>
    <n v="359.23"/>
    <n v="2334.23"/>
    <s v="DD"/>
    <e v="#DIV/0!"/>
    <m/>
    <e v="#DIV/0!"/>
    <e v="#VALUE!"/>
    <e v="#DIV/0!"/>
    <m/>
    <m/>
    <m/>
  </r>
  <r>
    <x v="16"/>
    <x v="57"/>
    <n v="198.58"/>
    <n v="0"/>
    <n v="198.58"/>
    <m/>
    <n v="17.05"/>
    <n v="0"/>
    <n v="215.63"/>
    <n v="21.69"/>
    <n v="237.32"/>
    <s v="DD"/>
    <e v="#DIV/0!"/>
    <m/>
    <e v="#DIV/0!"/>
    <e v="#VALUE!"/>
    <e v="#DIV/0!"/>
    <m/>
    <m/>
    <m/>
  </r>
  <r>
    <x v="16"/>
    <x v="57"/>
    <n v="3000"/>
    <n v="80"/>
    <n v="943.48"/>
    <n v="2800"/>
    <n v="743.48"/>
    <n v="0"/>
    <n v="3743.48"/>
    <n v="535.94000000000005"/>
    <n v="4279.42"/>
    <s v="DD"/>
    <e v="#DIV/0!"/>
    <m/>
    <e v="#DIV/0!"/>
    <e v="#VALUE!"/>
    <e v="#DIV/0!"/>
    <m/>
    <m/>
    <m/>
  </r>
  <r>
    <x v="16"/>
    <x v="57"/>
    <n v="2537"/>
    <n v="80"/>
    <n v="263.83999999999997"/>
    <n v="2537"/>
    <n v="263.83999999999997"/>
    <n v="0"/>
    <n v="2800.84"/>
    <n v="425.49"/>
    <n v="3226.33"/>
    <s v="DD"/>
    <e v="#DIV/0!"/>
    <m/>
    <e v="#DIV/0!"/>
    <e v="#VALUE!"/>
    <e v="#DIV/0!"/>
    <m/>
    <m/>
    <m/>
  </r>
  <r>
    <x v="16"/>
    <x v="57"/>
    <n v="2662"/>
    <n v="0"/>
    <m/>
    <n v="2662"/>
    <n v="574.87"/>
    <n v="0"/>
    <n v="3236.87"/>
    <n v="306.22000000000003"/>
    <n v="3543.09"/>
    <s v="DD"/>
    <e v="#DIV/0!"/>
    <m/>
    <e v="#DIV/0!"/>
    <e v="#VALUE!"/>
    <e v="#DIV/0!"/>
    <m/>
    <m/>
    <m/>
  </r>
  <r>
    <x v="16"/>
    <x v="57"/>
    <n v="2662"/>
    <n v="80"/>
    <n v="489.89"/>
    <n v="2800"/>
    <n v="627.89"/>
    <n v="0"/>
    <n v="3289.89"/>
    <n v="471.76"/>
    <n v="3761.65"/>
    <s v="DD"/>
    <e v="#DIV/0!"/>
    <m/>
    <e v="#DIV/0!"/>
    <e v="#VALUE!"/>
    <e v="#DIV/0!"/>
    <m/>
    <m/>
    <m/>
  </r>
  <r>
    <x v="16"/>
    <x v="57"/>
    <n v="2700"/>
    <n v="80"/>
    <n v="537.35"/>
    <n v="2800"/>
    <n v="637.35"/>
    <n v="0"/>
    <n v="3337.35"/>
    <n v="476.26"/>
    <n v="3813.61"/>
    <s v="DD"/>
    <e v="#DIV/0!"/>
    <m/>
    <e v="#DIV/0!"/>
    <e v="#VALUE!"/>
    <e v="#DIV/0!"/>
    <m/>
    <m/>
    <m/>
  </r>
  <r>
    <x v="16"/>
    <x v="57"/>
    <n v="2262"/>
    <n v="80"/>
    <m/>
    <n v="2800"/>
    <n v="538"/>
    <n v="0"/>
    <n v="2800"/>
    <n v="425.42"/>
    <n v="3225.42"/>
    <s v="DD"/>
    <e v="#DIV/0!"/>
    <m/>
    <e v="#DIV/0!"/>
    <e v="#VALUE!"/>
    <e v="#DIV/0!"/>
    <m/>
    <m/>
    <m/>
  </r>
  <r>
    <x v="16"/>
    <x v="57"/>
    <n v="2262"/>
    <n v="80"/>
    <m/>
    <n v="2800"/>
    <n v="538"/>
    <n v="0"/>
    <n v="2800"/>
    <n v="420.66"/>
    <n v="3220.66"/>
    <s v="DD"/>
    <e v="#DIV/0!"/>
    <m/>
    <e v="#DIV/0!"/>
    <e v="#VALUE!"/>
    <e v="#DIV/0!"/>
    <m/>
    <m/>
    <m/>
  </r>
  <r>
    <x v="16"/>
    <x v="57"/>
    <n v="2162"/>
    <n v="80"/>
    <m/>
    <n v="2800"/>
    <n v="638"/>
    <n v="0"/>
    <n v="2800"/>
    <n v="420.66"/>
    <n v="3220.66"/>
    <s v="DD"/>
    <e v="#DIV/0!"/>
    <m/>
    <e v="#DIV/0!"/>
    <e v="#VALUE!"/>
    <e v="#DIV/0!"/>
    <m/>
    <m/>
    <m/>
  </r>
  <r>
    <x v="16"/>
    <x v="57"/>
    <n v="2300"/>
    <n v="80"/>
    <n v="37.94"/>
    <n v="2800"/>
    <n v="537.94000000000005"/>
    <n v="0"/>
    <n v="2837.94"/>
    <n v="424.18"/>
    <n v="3262.12"/>
    <s v="DD"/>
    <e v="#DIV/0!"/>
    <m/>
    <e v="#DIV/0!"/>
    <e v="#VALUE!"/>
    <e v="#DIV/0!"/>
    <m/>
    <m/>
    <m/>
  </r>
  <r>
    <x v="28"/>
    <x v="57"/>
    <n v="1950"/>
    <n v="51"/>
    <m/>
    <n v="2730"/>
    <n v="780"/>
    <n v="0"/>
    <n v="2730"/>
    <n v="410.15"/>
    <n v="3140.15"/>
    <s v="DD"/>
    <n v="53.529411764705884"/>
    <n v="51"/>
    <n v="0"/>
    <n v="0"/>
    <n v="0"/>
    <m/>
    <m/>
    <m/>
  </r>
  <r>
    <x v="29"/>
    <x v="57"/>
    <n v="2992"/>
    <n v="78"/>
    <n v="801.93"/>
    <n v="2730"/>
    <n v="519.92999999999995"/>
    <n v="20"/>
    <n v="3531.93"/>
    <n v="484.64"/>
    <n v="4016.57"/>
    <s v="DD"/>
    <n v="29.310622406639002"/>
    <n v="120.5"/>
    <n v="593.54010373443975"/>
    <n v="83.1"/>
    <n v="890.31015560165963"/>
    <m/>
    <m/>
    <m/>
  </r>
  <r>
    <x v="30"/>
    <x v="57"/>
    <n v="1732"/>
    <n v="26"/>
    <n v="203.57"/>
    <n v="1750"/>
    <n v="191.57"/>
    <n v="30"/>
    <n v="1953.57"/>
    <n v="321.95999999999998"/>
    <n v="2275.5300000000002"/>
    <s v="DD"/>
    <n v="75.137307692307687"/>
    <n v="26"/>
    <n v="0"/>
    <n v="0"/>
    <n v="0"/>
    <m/>
    <m/>
    <m/>
  </r>
  <r>
    <x v="31"/>
    <x v="57"/>
    <n v="1647"/>
    <n v="68.5"/>
    <n v="204.64"/>
    <n v="1712"/>
    <n v="204.64"/>
    <n v="65"/>
    <n v="1916.64"/>
    <n v="314.51"/>
    <n v="2231.15"/>
    <s v="DD"/>
    <n v="27.980145985401457"/>
    <n v="68.5"/>
    <n v="0"/>
    <n v="0"/>
    <n v="0"/>
    <m/>
    <m/>
    <m/>
  </r>
  <r>
    <x v="32"/>
    <x v="57"/>
    <n v="2862"/>
    <n v="80"/>
    <n v="483.91"/>
    <n v="2862"/>
    <n v="483.97"/>
    <n v="-0.06"/>
    <n v="3345.91"/>
    <n v="471.37"/>
    <n v="3817.28"/>
    <s v="DD"/>
    <n v="30.417363636363635"/>
    <n v="110"/>
    <n v="456.26045454545454"/>
    <n v="59.31"/>
    <n v="684.39068181818175"/>
    <m/>
    <m/>
    <m/>
  </r>
  <r>
    <x v="33"/>
    <x v="57"/>
    <n v="2362"/>
    <n v="80"/>
    <n v="372.16"/>
    <n v="2412"/>
    <n v="372.16"/>
    <n v="50"/>
    <n v="2784.16"/>
    <n v="419.19"/>
    <n v="3203.35"/>
    <s v="DD"/>
    <n v="27.430147783251229"/>
    <n v="101.5"/>
    <n v="294.87408866995071"/>
    <n v="35.380000000000003"/>
    <n v="442.31113300492609"/>
    <m/>
    <m/>
    <m/>
  </r>
  <r>
    <x v="34"/>
    <x v="57"/>
    <n v="3300"/>
    <n v="80"/>
    <n v="605.24"/>
    <n v="3350"/>
    <n v="605.24"/>
    <n v="50"/>
    <n v="3955.24"/>
    <n v="503.04"/>
    <n v="4458.28"/>
    <s v="DD"/>
    <n v="29.516716417910445"/>
    <n v="134"/>
    <n v="796.95134328358199"/>
    <n v="95.63"/>
    <n v="1195.427014925373"/>
    <m/>
    <m/>
    <m/>
  </r>
  <r>
    <x v="35"/>
    <x v="57"/>
    <n v="2350"/>
    <n v="54"/>
    <n v="356.76"/>
    <n v="2350"/>
    <n v="356.76"/>
    <n v="0"/>
    <n v="2706.76"/>
    <n v="367.61"/>
    <n v="3074.37"/>
    <s v="DD"/>
    <n v="28.949304812834228"/>
    <n v="93.5"/>
    <n v="202.64513368983961"/>
    <n v="22.29"/>
    <n v="303.96770053475939"/>
    <m/>
    <m/>
    <m/>
  </r>
  <r>
    <x v="37"/>
    <x v="57"/>
    <n v="2950"/>
    <n v="80"/>
    <n v="505.84"/>
    <n v="2950"/>
    <n v="505.84"/>
    <n v="0"/>
    <n v="3455.84"/>
    <n v="424.91"/>
    <n v="3880.75"/>
    <s v="DD"/>
    <n v="29.286779661016951"/>
    <n v="118"/>
    <n v="556.44881355932205"/>
    <n v="61.21"/>
    <n v="834.67322033898313"/>
    <m/>
    <m/>
    <m/>
  </r>
  <r>
    <x v="38"/>
    <x v="57"/>
    <n v="3180"/>
    <n v="80"/>
    <n v="580.4"/>
    <n v="3250"/>
    <n v="580.4"/>
    <n v="70"/>
    <n v="3830.4"/>
    <n v="453.57"/>
    <n v="4283.97"/>
    <s v="DD"/>
    <n v="29.464615384615385"/>
    <n v="130"/>
    <n v="736.61538461538464"/>
    <n v="73.66"/>
    <n v="1104.9230769230769"/>
    <m/>
    <m/>
    <m/>
  </r>
  <r>
    <x v="39"/>
    <x v="57"/>
    <n v="2335"/>
    <n v="80"/>
    <n v="362.96"/>
    <n v="2375"/>
    <n v="362.96"/>
    <n v="40"/>
    <n v="2737.96"/>
    <n v="369.99"/>
    <n v="3107.95"/>
    <s v="DD"/>
    <n v="28.820631578947367"/>
    <n v="95"/>
    <n v="216.15473684210525"/>
    <n v="21.62"/>
    <n v="324.23210526315791"/>
    <m/>
    <m/>
    <m/>
  </r>
  <r>
    <x v="40"/>
    <x v="57"/>
    <n v="2950"/>
    <n v="80"/>
    <n v="518.27"/>
    <n v="3000"/>
    <n v="518.27"/>
    <n v="50"/>
    <n v="3518.27"/>
    <n v="429.69"/>
    <n v="3947.96"/>
    <s v="DD"/>
    <n v="29.318916666666667"/>
    <n v="120"/>
    <n v="586.37833333333333"/>
    <n v="52.77"/>
    <n v="879.5675"/>
    <m/>
    <m/>
    <m/>
  </r>
  <r>
    <x v="41"/>
    <x v="57"/>
    <n v="1837"/>
    <n v="56"/>
    <n v="239.66"/>
    <n v="1837"/>
    <n v="239.66"/>
    <n v="0"/>
    <n v="2076.66"/>
    <n v="319.41000000000003"/>
    <n v="2396.0700000000002"/>
    <s v="DD"/>
    <n v="28.44739726027397"/>
    <n v="73"/>
    <n v="227.57917808219176"/>
    <n v="20.48"/>
    <n v="341.36876712328763"/>
    <m/>
    <m/>
    <m/>
  </r>
  <r>
    <x v="42"/>
    <x v="57"/>
    <n v="2150"/>
    <n v="58"/>
    <n v="307.92"/>
    <n v="2150"/>
    <n v="307.92"/>
    <n v="0"/>
    <n v="2457.92"/>
    <n v="348.57"/>
    <n v="2806.49"/>
    <s v="DD"/>
    <n v="28.580465116279072"/>
    <n v="86"/>
    <n v="257.22418604651165"/>
    <n v="23.15"/>
    <n v="385.83627906976744"/>
    <m/>
    <m/>
    <m/>
  </r>
  <r>
    <x v="43"/>
    <x v="57"/>
    <n v="2887"/>
    <n v="80"/>
    <n v="490.18"/>
    <n v="2887"/>
    <n v="490.18"/>
    <n v="0"/>
    <n v="3377.18"/>
    <n v="418.89"/>
    <n v="3796.07"/>
    <s v="DD"/>
    <n v="29.239653679653678"/>
    <n v="115.5"/>
    <n v="519.00385281385275"/>
    <n v="41.52"/>
    <n v="778.50577922077912"/>
    <m/>
    <m/>
    <m/>
  </r>
  <r>
    <x v="44"/>
    <x v="57"/>
    <n v="2622"/>
    <n v="56.5"/>
    <n v="418.81"/>
    <n v="2622"/>
    <n v="418.81"/>
    <n v="0"/>
    <n v="3040.81"/>
    <n v="461.27"/>
    <n v="3502.08"/>
    <s v="DD"/>
    <n v="34.359435028248583"/>
    <n v="88.5"/>
    <n v="283.4653389830508"/>
    <n v="22.68"/>
    <n v="425.19800847457623"/>
    <m/>
    <m/>
    <m/>
  </r>
  <r>
    <x v="45"/>
    <x v="57"/>
    <n v="2958"/>
    <n v="52.5"/>
    <m/>
    <n v="1458"/>
    <n v="390.66"/>
    <n v="0"/>
    <n v="3348.66"/>
    <n v="408.94"/>
    <n v="3757.6"/>
    <s v="DD"/>
    <n v="27.771428571428572"/>
    <n v="52.5"/>
    <n v="173.57142857142858"/>
    <n v="12.15"/>
    <n v="260.35714285714289"/>
    <m/>
    <m/>
    <m/>
  </r>
  <r>
    <x v="46"/>
    <x v="57"/>
    <n v="3255"/>
    <n v="80"/>
    <m/>
    <n v="3267"/>
    <n v="463.84"/>
    <n v="12"/>
    <n v="3730.84"/>
    <n v="470.05"/>
    <n v="4200.8900000000003"/>
    <s v="DD"/>
    <n v="27"/>
    <n v="121"/>
    <n v="553.5"/>
    <n v="38.75"/>
    <n v="830.25"/>
    <m/>
    <m/>
    <m/>
  </r>
  <r>
    <x v="47"/>
    <x v="57"/>
    <n v="2578"/>
    <n v="80"/>
    <m/>
    <n v="2578"/>
    <n v="317.89999999999998"/>
    <n v="0"/>
    <n v="2895.9"/>
    <n v="351.93"/>
    <n v="3247.83"/>
    <s v="DD"/>
    <n v="26.994764397905758"/>
    <n v="95.5"/>
    <n v="209.20942408376962"/>
    <n v="12.55"/>
    <n v="313.81413612565444"/>
    <m/>
    <m/>
    <m/>
  </r>
  <r>
    <x v="48"/>
    <x v="57"/>
    <n v="3486"/>
    <n v="80"/>
    <m/>
    <n v="3486"/>
    <n v="498.6"/>
    <n v="0"/>
    <n v="3984.6"/>
    <n v="436.26"/>
    <n v="4420.8599999999997"/>
    <s v="DD"/>
    <n v="28.691358024691358"/>
    <n v="121.5"/>
    <n v="595.34567901234561"/>
    <n v="35.72"/>
    <n v="893.01851851851848"/>
    <m/>
    <m/>
    <m/>
  </r>
  <r>
    <x v="49"/>
    <x v="57"/>
    <n v="2310"/>
    <n v="80"/>
    <m/>
    <n v="2310"/>
    <n v="269.14999999999998"/>
    <n v="0"/>
    <n v="2579.15"/>
    <n v="327.02"/>
    <n v="2906.17"/>
    <s v="DD"/>
    <n v="28"/>
    <n v="82.5"/>
    <n v="35"/>
    <n v="1.75"/>
    <n v="52.5"/>
    <m/>
    <m/>
    <m/>
  </r>
  <r>
    <x v="50"/>
    <x v="57"/>
    <n v="2511.87"/>
    <n v="87"/>
    <m/>
    <n v="2896"/>
    <n v="384.13"/>
    <n v="0"/>
    <n v="2896"/>
    <n v="391.29"/>
    <n v="3287.29"/>
    <s v="DD"/>
    <n v="33.287356321839077"/>
    <n v="87"/>
    <n v="116.50574712643677"/>
    <n v="5.83"/>
    <n v="174.75862068965517"/>
    <m/>
    <m/>
    <m/>
  </r>
  <r>
    <x v="99"/>
    <x v="57"/>
    <n v="1162"/>
    <n v="16"/>
    <m/>
    <n v="1280"/>
    <n v="118"/>
    <n v="0"/>
    <n v="1280"/>
    <n v="175.13"/>
    <n v="1455.13"/>
    <s v="DD"/>
    <n v="80"/>
    <n v="16"/>
    <n v="0"/>
    <n v="0"/>
    <n v="0"/>
    <m/>
    <m/>
    <m/>
  </r>
  <r>
    <x v="16"/>
    <x v="57"/>
    <n v="500.25"/>
    <n v="17.22"/>
    <m/>
    <n v="551.04"/>
    <n v="50.79"/>
    <n v="0"/>
    <n v="551.04"/>
    <n v="74.319999999999993"/>
    <n v="625.36"/>
    <s v="DD"/>
    <e v="#DIV/0!"/>
    <m/>
    <e v="#DIV/0!"/>
    <e v="#VALUE!"/>
    <e v="#DIV/0!"/>
    <m/>
    <m/>
    <m/>
  </r>
  <r>
    <x v="16"/>
    <x v="57"/>
    <n v="700.11"/>
    <n v="24.1"/>
    <m/>
    <n v="771.2"/>
    <n v="71.09"/>
    <n v="0"/>
    <n v="771.2"/>
    <n v="104.01"/>
    <n v="875.21"/>
    <s v="DD"/>
    <e v="#DIV/0!"/>
    <m/>
    <e v="#DIV/0!"/>
    <e v="#VALUE!"/>
    <e v="#DIV/0!"/>
    <m/>
    <m/>
    <m/>
  </r>
  <r>
    <x v="100"/>
    <x v="57"/>
    <n v="1583.23"/>
    <n v="56"/>
    <m/>
    <n v="1744"/>
    <n v="160.77000000000001"/>
    <n v="0"/>
    <n v="1744"/>
    <n v="235.21"/>
    <n v="1979.21"/>
    <s v="DD"/>
    <n v="31.142857142857142"/>
    <n v="56"/>
    <n v="0"/>
    <n v="0"/>
    <n v="0"/>
    <m/>
    <m/>
    <m/>
  </r>
  <r>
    <x v="101"/>
    <x v="57"/>
    <n v="3661.13"/>
    <n v="109.5"/>
    <m/>
    <n v="4100.25"/>
    <n v="633.27"/>
    <n v="0"/>
    <n v="4294.3999999999996"/>
    <n v="518.95000000000005"/>
    <n v="4813.3500000000004"/>
    <s v="DD"/>
    <n v="37.106334841628957"/>
    <n v="110.5"/>
    <n v="565.87160633484154"/>
    <n v="11.32"/>
    <n v="848.80740950226232"/>
    <m/>
    <m/>
    <m/>
  </r>
  <r>
    <x v="78"/>
    <x v="57"/>
    <m/>
    <n v="87"/>
    <m/>
    <m/>
    <m/>
    <m/>
    <m/>
    <m/>
    <m/>
    <m/>
    <m/>
    <m/>
    <m/>
    <n v="0"/>
    <m/>
    <m/>
    <m/>
    <m/>
  </r>
  <r>
    <x v="82"/>
    <x v="57"/>
    <m/>
    <n v="93"/>
    <m/>
    <m/>
    <m/>
    <m/>
    <m/>
    <m/>
    <m/>
    <m/>
    <m/>
    <m/>
    <m/>
    <n v="0"/>
    <m/>
    <m/>
    <m/>
    <m/>
  </r>
  <r>
    <x v="79"/>
    <x v="57"/>
    <m/>
    <n v="75"/>
    <m/>
    <m/>
    <m/>
    <m/>
    <m/>
    <m/>
    <m/>
    <m/>
    <m/>
    <m/>
    <m/>
    <n v="0"/>
    <m/>
    <m/>
    <m/>
    <m/>
  </r>
  <r>
    <x v="49"/>
    <x v="58"/>
    <n v="720"/>
    <n v="40"/>
    <m/>
    <n v="720"/>
    <n v="73.739999999999995"/>
    <n v="0"/>
    <n v="793.74"/>
    <n v="127.41"/>
    <n v="921.15"/>
    <n v="100202"/>
    <n v="18"/>
    <n v="40"/>
    <n v="0"/>
    <n v="0"/>
    <n v="0"/>
    <n v="409.55"/>
    <m/>
    <m/>
  </r>
  <r>
    <x v="50"/>
    <x v="58"/>
    <n v="1588.31"/>
    <n v="45"/>
    <m/>
    <n v="1763"/>
    <n v="174.69"/>
    <n v="0"/>
    <n v="1763"/>
    <n v="292.39999999999998"/>
    <n v="2055.4"/>
    <n v="100205"/>
    <n v="20.988095238095237"/>
    <n v="84"/>
    <n v="52.470238095238095"/>
    <n v="2.62"/>
    <n v="78.705357142857139"/>
    <m/>
    <m/>
    <m/>
  </r>
  <r>
    <x v="99"/>
    <x v="58"/>
    <n v="738.36"/>
    <n v="24"/>
    <m/>
    <n v="890"/>
    <n v="81.64"/>
    <n v="0"/>
    <n v="820"/>
    <n v="137.30000000000001"/>
    <n v="957.3"/>
    <n v="100208"/>
    <n v="37.083333333333336"/>
    <n v="24"/>
    <n v="0"/>
    <n v="0"/>
    <n v="0"/>
    <m/>
    <m/>
    <m/>
  </r>
  <r>
    <x v="16"/>
    <x v="58"/>
    <n v="500.23"/>
    <n v="27.1"/>
    <m/>
    <n v="555.54999999999995"/>
    <n v="55.32"/>
    <n v="0"/>
    <n v="555.54999999999995"/>
    <n v="96.05"/>
    <n v="651.6"/>
    <n v="100211"/>
    <e v="#DIV/0!"/>
    <m/>
    <e v="#DIV/0!"/>
    <e v="#VALUE!"/>
    <e v="#DIV/0!"/>
    <m/>
    <m/>
    <m/>
  </r>
  <r>
    <x v="16"/>
    <x v="58"/>
    <n v="700.06"/>
    <n v="37.92"/>
    <m/>
    <n v="777.46"/>
    <n v="77.400000000000006"/>
    <n v="0"/>
    <n v="777.46"/>
    <n v="134.38999999999999"/>
    <n v="911.85"/>
    <n v="100215"/>
    <e v="#DIV/0!"/>
    <m/>
    <e v="#DIV/0!"/>
    <e v="#VALUE!"/>
    <e v="#DIV/0!"/>
    <m/>
    <m/>
    <m/>
  </r>
  <r>
    <x v="16"/>
    <x v="58"/>
    <n v="300"/>
    <n v="16.25"/>
    <m/>
    <n v="333.17"/>
    <n v="33.17"/>
    <n v="0"/>
    <n v="333.17"/>
    <n v="57.61"/>
    <n v="390.78"/>
    <n v="100218"/>
    <e v="#DIV/0!"/>
    <m/>
    <e v="#DIV/0!"/>
    <e v="#VALUE!"/>
    <e v="#DIV/0!"/>
    <m/>
    <m/>
    <m/>
  </r>
  <r>
    <x v="101"/>
    <x v="58"/>
    <n v="886.03"/>
    <n v="48"/>
    <m/>
    <n v="984"/>
    <n v="97.97"/>
    <n v="0"/>
    <n v="984"/>
    <n v="170.11"/>
    <n v="1154.1099999999999"/>
    <n v="100221"/>
    <n v="20.5"/>
    <n v="48"/>
    <n v="0"/>
    <n v="0"/>
    <n v="0"/>
    <m/>
    <m/>
    <m/>
  </r>
  <r>
    <x v="82"/>
    <x v="58"/>
    <m/>
    <n v="89"/>
    <m/>
    <m/>
    <m/>
    <m/>
    <m/>
    <m/>
    <m/>
    <m/>
    <m/>
    <m/>
    <n v="0"/>
    <n v="0"/>
    <n v="0"/>
    <n v="18429.749999999985"/>
    <m/>
    <m/>
  </r>
  <r>
    <x v="79"/>
    <x v="58"/>
    <m/>
    <n v="106.5"/>
    <m/>
    <m/>
    <m/>
    <m/>
    <m/>
    <m/>
    <m/>
    <m/>
    <m/>
    <m/>
    <n v="0"/>
    <m/>
    <m/>
    <m/>
    <m/>
    <m/>
  </r>
  <r>
    <x v="103"/>
    <x v="59"/>
    <m/>
    <m/>
    <m/>
    <m/>
    <m/>
    <m/>
    <m/>
    <m/>
    <m/>
    <m/>
    <m/>
    <m/>
    <e v="#DIV/0!"/>
    <e v="#VALUE!"/>
    <e v="#DIV/0!"/>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r>
    <x v="103"/>
    <x v="59"/>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4B847F-FB31-42CE-9E68-6B9FCA22E6B0}"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4:C731" firstHeaderRow="2" firstDataRow="2" firstDataCol="2"/>
  <pivotFields count="18">
    <pivotField axis="axisRow" compact="0" outline="0" showAll="0" defaultSubtotal="0">
      <items count="102">
        <item x="16"/>
        <item x="54"/>
        <item x="55"/>
        <item x="56"/>
        <item x="57"/>
        <item x="58"/>
        <item x="59"/>
        <item x="0"/>
        <item x="1"/>
        <item x="2"/>
        <item x="3"/>
        <item x="4"/>
        <item x="5"/>
        <item x="6"/>
        <item x="7"/>
        <item x="8"/>
        <item x="9"/>
        <item x="10"/>
        <item x="11"/>
        <item x="36"/>
        <item x="12"/>
        <item x="91"/>
        <item x="13"/>
        <item x="60"/>
        <item x="14"/>
        <item x="83"/>
        <item x="15"/>
        <item x="98"/>
        <item x="84"/>
        <item x="17"/>
        <item x="85"/>
        <item x="18"/>
        <item x="87"/>
        <item x="19"/>
        <item x="26"/>
        <item x="88"/>
        <item x="20"/>
        <item x="86"/>
        <item x="21"/>
        <item x="22"/>
        <item x="23"/>
        <item x="79"/>
        <item x="24"/>
        <item x="27"/>
        <item x="63"/>
        <item x="28"/>
        <item x="64"/>
        <item x="29"/>
        <item x="65"/>
        <item x="30"/>
        <item x="51"/>
        <item x="31"/>
        <item x="66"/>
        <item x="32"/>
        <item x="67"/>
        <item x="33"/>
        <item x="52"/>
        <item x="34"/>
        <item x="25"/>
        <item x="35"/>
        <item x="53"/>
        <item x="37"/>
        <item x="38"/>
        <item x="68"/>
        <item x="39"/>
        <item x="62"/>
        <item x="40"/>
        <item x="93"/>
        <item x="41"/>
        <item x="94"/>
        <item x="81"/>
        <item x="42"/>
        <item x="95"/>
        <item x="82"/>
        <item x="61"/>
        <item x="43"/>
        <item x="96"/>
        <item x="44"/>
        <item x="97"/>
        <item x="45"/>
        <item x="89"/>
        <item x="46"/>
        <item x="69"/>
        <item x="47"/>
        <item x="70"/>
        <item x="48"/>
        <item x="71"/>
        <item x="49"/>
        <item x="72"/>
        <item x="73"/>
        <item x="74"/>
        <item x="50"/>
        <item x="90"/>
        <item x="99"/>
        <item x="75"/>
        <item x="100"/>
        <item x="76"/>
        <item x="101"/>
        <item x="77"/>
        <item x="80"/>
        <item x="78"/>
        <item x="92"/>
      </items>
      <extLst>
        <ext xmlns:x14="http://schemas.microsoft.com/office/spreadsheetml/2009/9/main" uri="{2946ED86-A175-432a-8AC1-64E0C546D7DE}">
          <x14:pivotField fillDownLabels="1"/>
        </ext>
      </extLst>
    </pivotField>
    <pivotField axis="axisRow" compact="0" outline="0" showAll="0" defaultSubtotal="0">
      <items count="60">
        <item x="1"/>
        <item sd="0" x="2"/>
        <item x="3"/>
        <item x="4"/>
        <item x="5"/>
        <item x="6"/>
        <item x="9"/>
        <item x="7"/>
        <item x="8"/>
        <item x="10"/>
        <item x="11"/>
        <item x="12"/>
        <item x="13"/>
        <item x="14"/>
        <item x="15"/>
        <item x="16"/>
        <item x="17"/>
        <item x="43"/>
        <item x="45"/>
        <item x="44"/>
        <item x="18"/>
        <item x="19"/>
        <item x="20"/>
        <item x="46"/>
        <item x="21"/>
        <item x="22"/>
        <item x="23"/>
        <item x="47"/>
        <item x="48"/>
        <item x="49"/>
        <item x="25"/>
        <item x="24"/>
        <item x="26"/>
        <item x="27"/>
        <item x="50"/>
        <item x="28"/>
        <item x="29"/>
        <item x="51"/>
        <item x="30"/>
        <item x="31"/>
        <item x="32"/>
        <item x="52"/>
        <item x="33"/>
        <item x="53"/>
        <item x="34"/>
        <item x="35"/>
        <item x="36"/>
        <item x="37"/>
        <item x="54"/>
        <item x="38"/>
        <item x="40"/>
        <item x="55"/>
        <item x="56"/>
        <item x="41"/>
        <item x="57"/>
        <item x="58"/>
        <item x="59"/>
        <item x="42"/>
        <item x="0"/>
        <item x="3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1"/>
    <field x="0"/>
  </rowFields>
  <rowItems count="726">
    <i>
      <x/>
      <x/>
    </i>
    <i r="1">
      <x v="17"/>
    </i>
    <i r="1">
      <x v="18"/>
    </i>
    <i r="1">
      <x v="20"/>
    </i>
    <i r="1">
      <x v="22"/>
    </i>
    <i r="1">
      <x v="24"/>
    </i>
    <i r="1">
      <x v="26"/>
    </i>
    <i r="1">
      <x v="29"/>
    </i>
    <i r="1">
      <x v="31"/>
    </i>
    <i r="1">
      <x v="33"/>
    </i>
    <i r="1">
      <x v="36"/>
    </i>
    <i r="1">
      <x v="38"/>
    </i>
    <i r="1">
      <x v="39"/>
    </i>
    <i r="1">
      <x v="40"/>
    </i>
    <i r="1">
      <x v="42"/>
    </i>
    <i>
      <x v="1"/>
    </i>
    <i>
      <x v="2"/>
      <x v="58"/>
    </i>
    <i>
      <x v="3"/>
      <x v="31"/>
    </i>
    <i r="1">
      <x v="34"/>
    </i>
    <i r="1">
      <x v="36"/>
    </i>
    <i r="1">
      <x v="38"/>
    </i>
    <i r="1">
      <x v="39"/>
    </i>
    <i r="1">
      <x v="40"/>
    </i>
    <i r="1">
      <x v="42"/>
    </i>
    <i r="1">
      <x v="43"/>
    </i>
    <i r="1">
      <x v="45"/>
    </i>
    <i r="1">
      <x v="47"/>
    </i>
    <i r="1">
      <x v="49"/>
    </i>
    <i r="1">
      <x v="51"/>
    </i>
    <i r="1">
      <x v="53"/>
    </i>
    <i r="1">
      <x v="55"/>
    </i>
    <i r="1">
      <x v="57"/>
    </i>
    <i r="1">
      <x v="59"/>
    </i>
    <i>
      <x v="4"/>
      <x/>
    </i>
    <i>
      <x v="5"/>
      <x/>
    </i>
    <i>
      <x v="6"/>
      <x v="50"/>
    </i>
    <i>
      <x v="7"/>
      <x/>
    </i>
    <i r="1">
      <x v="17"/>
    </i>
    <i r="1">
      <x v="18"/>
    </i>
    <i r="1">
      <x v="19"/>
    </i>
    <i r="1">
      <x v="22"/>
    </i>
    <i r="1">
      <x v="24"/>
    </i>
    <i r="1">
      <x v="26"/>
    </i>
    <i r="1">
      <x v="40"/>
    </i>
    <i r="1">
      <x v="42"/>
    </i>
    <i r="1">
      <x v="43"/>
    </i>
    <i r="1">
      <x v="45"/>
    </i>
    <i r="1">
      <x v="47"/>
    </i>
    <i r="1">
      <x v="49"/>
    </i>
    <i r="1">
      <x v="51"/>
    </i>
    <i r="1">
      <x v="53"/>
    </i>
    <i r="1">
      <x v="55"/>
    </i>
    <i r="1">
      <x v="57"/>
    </i>
    <i r="1">
      <x v="59"/>
    </i>
    <i r="1">
      <x v="61"/>
    </i>
    <i r="1">
      <x v="62"/>
    </i>
    <i r="1">
      <x v="64"/>
    </i>
    <i r="1">
      <x v="66"/>
    </i>
    <i r="1">
      <x v="68"/>
    </i>
    <i r="1">
      <x v="71"/>
    </i>
    <i r="1">
      <x v="75"/>
    </i>
    <i r="1">
      <x v="77"/>
    </i>
    <i r="1">
      <x v="79"/>
    </i>
    <i r="1">
      <x v="81"/>
    </i>
    <i r="1">
      <x v="83"/>
    </i>
    <i r="1">
      <x v="85"/>
    </i>
    <i r="1">
      <x v="87"/>
    </i>
    <i r="1">
      <x v="91"/>
    </i>
    <i>
      <x v="8"/>
      <x/>
    </i>
    <i r="1">
      <x v="45"/>
    </i>
    <i r="1">
      <x v="47"/>
    </i>
    <i r="1">
      <x v="49"/>
    </i>
    <i r="1">
      <x v="53"/>
    </i>
    <i r="1">
      <x v="55"/>
    </i>
    <i r="1">
      <x v="56"/>
    </i>
    <i r="1">
      <x v="58"/>
    </i>
    <i r="1">
      <x v="60"/>
    </i>
    <i>
      <x v="9"/>
      <x v="1"/>
    </i>
    <i r="1">
      <x v="2"/>
    </i>
    <i r="1">
      <x v="3"/>
    </i>
    <i r="1">
      <x v="4"/>
    </i>
    <i r="1">
      <x v="5"/>
    </i>
    <i r="1">
      <x v="6"/>
    </i>
    <i r="1">
      <x v="7"/>
    </i>
    <i r="1">
      <x v="8"/>
    </i>
    <i r="1">
      <x v="9"/>
    </i>
    <i r="1">
      <x v="10"/>
    </i>
    <i r="1">
      <x v="11"/>
    </i>
    <i r="1">
      <x v="12"/>
    </i>
    <i r="1">
      <x v="13"/>
    </i>
    <i r="1">
      <x v="14"/>
    </i>
    <i r="1">
      <x v="15"/>
    </i>
    <i r="1">
      <x v="16"/>
    </i>
    <i r="1">
      <x v="17"/>
    </i>
    <i r="1">
      <x v="18"/>
    </i>
    <i r="1">
      <x v="20"/>
    </i>
    <i r="1">
      <x v="22"/>
    </i>
    <i r="1">
      <x v="23"/>
    </i>
    <i r="1">
      <x v="26"/>
    </i>
    <i r="1">
      <x v="29"/>
    </i>
    <i r="1">
      <x v="31"/>
    </i>
    <i r="1">
      <x v="33"/>
    </i>
    <i r="1">
      <x v="36"/>
    </i>
    <i r="1">
      <x v="38"/>
    </i>
    <i r="1">
      <x v="39"/>
    </i>
    <i r="1">
      <x v="40"/>
    </i>
    <i r="1">
      <x v="42"/>
    </i>
    <i r="1">
      <x v="43"/>
    </i>
    <i r="1">
      <x v="45"/>
    </i>
    <i r="1">
      <x v="47"/>
    </i>
    <i r="1">
      <x v="49"/>
    </i>
    <i r="1">
      <x v="51"/>
    </i>
    <i r="1">
      <x v="53"/>
    </i>
    <i r="1">
      <x v="55"/>
    </i>
    <i r="1">
      <x v="57"/>
    </i>
    <i r="1">
      <x v="59"/>
    </i>
    <i r="1">
      <x v="61"/>
    </i>
    <i r="1">
      <x v="62"/>
    </i>
    <i r="1">
      <x v="64"/>
    </i>
    <i r="1">
      <x v="66"/>
    </i>
    <i r="1">
      <x v="68"/>
    </i>
    <i r="1">
      <x v="71"/>
    </i>
    <i r="1">
      <x v="74"/>
    </i>
    <i r="1">
      <x v="77"/>
    </i>
    <i r="1">
      <x v="81"/>
    </i>
    <i r="1">
      <x v="83"/>
    </i>
    <i r="1">
      <x v="85"/>
    </i>
    <i r="1">
      <x v="87"/>
    </i>
    <i r="1">
      <x v="91"/>
    </i>
    <i>
      <x v="10"/>
      <x v="16"/>
    </i>
    <i r="1">
      <x v="17"/>
    </i>
    <i r="1">
      <x v="18"/>
    </i>
    <i r="1">
      <x v="20"/>
    </i>
    <i r="1">
      <x v="22"/>
    </i>
    <i r="1">
      <x v="24"/>
    </i>
    <i r="1">
      <x v="26"/>
    </i>
    <i>
      <x v="11"/>
      <x/>
    </i>
    <i>
      <x v="12"/>
      <x/>
    </i>
    <i r="1">
      <x v="83"/>
    </i>
    <i>
      <x v="13"/>
      <x v="59"/>
    </i>
    <i r="1">
      <x v="61"/>
    </i>
    <i r="1">
      <x v="62"/>
    </i>
    <i r="1">
      <x v="64"/>
    </i>
    <i r="1">
      <x v="66"/>
    </i>
    <i r="1">
      <x v="68"/>
    </i>
    <i r="1">
      <x v="71"/>
    </i>
    <i r="1">
      <x v="75"/>
    </i>
    <i>
      <x v="14"/>
      <x/>
    </i>
    <i>
      <x v="15"/>
      <x v="65"/>
    </i>
    <i>
      <x v="16"/>
      <x v="44"/>
    </i>
    <i r="1">
      <x v="46"/>
    </i>
    <i r="1">
      <x v="48"/>
    </i>
    <i r="1">
      <x v="50"/>
    </i>
    <i r="1">
      <x v="52"/>
    </i>
    <i r="1">
      <x v="54"/>
    </i>
    <i r="1">
      <x v="56"/>
    </i>
    <i r="1">
      <x v="58"/>
    </i>
    <i r="1">
      <x v="60"/>
    </i>
    <i r="1">
      <x v="63"/>
    </i>
    <i r="1">
      <x v="65"/>
    </i>
    <i>
      <x v="17"/>
      <x/>
    </i>
    <i r="1">
      <x v="90"/>
    </i>
    <i r="1">
      <x v="91"/>
    </i>
    <i r="1">
      <x v="93"/>
    </i>
    <i r="1">
      <x v="95"/>
    </i>
    <i r="1">
      <x v="97"/>
    </i>
    <i r="1">
      <x v="98"/>
    </i>
    <i r="1">
      <x v="99"/>
    </i>
    <i r="1">
      <x v="100"/>
    </i>
    <i>
      <x v="18"/>
      <x/>
    </i>
    <i r="1">
      <x v="75"/>
    </i>
    <i r="1">
      <x v="77"/>
    </i>
    <i r="1">
      <x v="79"/>
    </i>
    <i r="1">
      <x v="81"/>
    </i>
    <i r="1">
      <x v="83"/>
    </i>
    <i r="1">
      <x v="85"/>
    </i>
    <i r="1">
      <x v="87"/>
    </i>
    <i r="1">
      <x v="91"/>
    </i>
    <i r="1">
      <x v="93"/>
    </i>
    <i r="1">
      <x v="95"/>
    </i>
    <i r="1">
      <x v="97"/>
    </i>
    <i r="1">
      <x v="98"/>
    </i>
    <i r="1">
      <x v="99"/>
    </i>
    <i r="1">
      <x v="100"/>
    </i>
    <i>
      <x v="19"/>
      <x/>
    </i>
    <i r="1">
      <x v="47"/>
    </i>
    <i r="1">
      <x v="49"/>
    </i>
    <i r="1">
      <x v="51"/>
    </i>
    <i r="1">
      <x v="53"/>
    </i>
    <i r="1">
      <x v="55"/>
    </i>
    <i r="1">
      <x v="57"/>
    </i>
    <i r="1">
      <x v="59"/>
    </i>
    <i r="1">
      <x v="61"/>
    </i>
    <i r="1">
      <x v="62"/>
    </i>
    <i r="1">
      <x v="64"/>
    </i>
    <i r="1">
      <x v="66"/>
    </i>
    <i r="1">
      <x v="68"/>
    </i>
    <i r="1">
      <x v="71"/>
    </i>
    <i r="1">
      <x v="75"/>
    </i>
    <i r="1">
      <x v="77"/>
    </i>
    <i r="1">
      <x v="79"/>
    </i>
    <i r="1">
      <x v="81"/>
    </i>
    <i r="1">
      <x v="83"/>
    </i>
    <i r="1">
      <x v="85"/>
    </i>
    <i r="1">
      <x v="87"/>
    </i>
    <i r="1">
      <x v="91"/>
    </i>
    <i r="1">
      <x v="93"/>
    </i>
    <i r="1">
      <x v="95"/>
    </i>
    <i r="1">
      <x v="97"/>
    </i>
    <i r="1">
      <x v="98"/>
    </i>
    <i r="1">
      <x v="99"/>
    </i>
    <i r="1">
      <x v="100"/>
    </i>
    <i>
      <x v="20"/>
      <x/>
    </i>
    <i r="1">
      <x v="22"/>
    </i>
    <i r="1">
      <x v="24"/>
    </i>
    <i r="1">
      <x v="26"/>
    </i>
    <i r="1">
      <x v="29"/>
    </i>
    <i r="1">
      <x v="31"/>
    </i>
    <i r="1">
      <x v="34"/>
    </i>
    <i r="1">
      <x v="36"/>
    </i>
    <i r="1">
      <x v="38"/>
    </i>
    <i r="1">
      <x v="39"/>
    </i>
    <i r="1">
      <x v="40"/>
    </i>
    <i r="1">
      <x v="42"/>
    </i>
    <i r="1">
      <x v="43"/>
    </i>
    <i r="1">
      <x v="45"/>
    </i>
    <i r="1">
      <x v="47"/>
    </i>
    <i r="1">
      <x v="49"/>
    </i>
    <i r="1">
      <x v="51"/>
    </i>
    <i r="1">
      <x v="53"/>
    </i>
    <i r="1">
      <x v="55"/>
    </i>
    <i r="1">
      <x v="57"/>
    </i>
    <i r="1">
      <x v="59"/>
    </i>
    <i r="1">
      <x v="61"/>
    </i>
    <i r="1">
      <x v="62"/>
    </i>
    <i r="1">
      <x v="64"/>
    </i>
    <i r="1">
      <x v="66"/>
    </i>
    <i r="1">
      <x v="68"/>
    </i>
    <i r="1">
      <x v="71"/>
    </i>
    <i r="1">
      <x v="75"/>
    </i>
    <i r="1">
      <x v="77"/>
    </i>
    <i r="1">
      <x v="79"/>
    </i>
    <i r="1">
      <x v="81"/>
    </i>
    <i r="1">
      <x v="83"/>
    </i>
    <i r="1">
      <x v="85"/>
    </i>
    <i r="1">
      <x v="87"/>
    </i>
    <i r="1">
      <x v="91"/>
    </i>
    <i>
      <x v="21"/>
      <x/>
    </i>
    <i r="1">
      <x v="22"/>
    </i>
    <i r="1">
      <x v="24"/>
    </i>
    <i r="1">
      <x v="26"/>
    </i>
    <i r="1">
      <x v="29"/>
    </i>
    <i r="1">
      <x v="31"/>
    </i>
    <i r="1">
      <x v="33"/>
    </i>
    <i r="1">
      <x v="36"/>
    </i>
    <i r="1">
      <x v="38"/>
    </i>
    <i r="1">
      <x v="39"/>
    </i>
    <i r="1">
      <x v="40"/>
    </i>
    <i r="1">
      <x v="42"/>
    </i>
    <i r="1">
      <x v="43"/>
    </i>
    <i r="1">
      <x v="45"/>
    </i>
    <i r="1">
      <x v="47"/>
    </i>
    <i r="1">
      <x v="49"/>
    </i>
    <i r="1">
      <x v="51"/>
    </i>
    <i r="1">
      <x v="53"/>
    </i>
    <i r="1">
      <x v="55"/>
    </i>
    <i r="1">
      <x v="57"/>
    </i>
    <i r="1">
      <x v="59"/>
    </i>
    <i>
      <x v="22"/>
      <x/>
    </i>
    <i r="1">
      <x v="18"/>
    </i>
    <i r="1">
      <x v="20"/>
    </i>
    <i r="1">
      <x v="22"/>
    </i>
    <i r="1">
      <x v="24"/>
    </i>
    <i r="1">
      <x v="26"/>
    </i>
    <i r="1">
      <x v="29"/>
    </i>
    <i r="1">
      <x v="38"/>
    </i>
    <i r="1">
      <x v="40"/>
    </i>
    <i r="1">
      <x v="42"/>
    </i>
    <i r="1">
      <x v="47"/>
    </i>
    <i r="1">
      <x v="49"/>
    </i>
    <i r="1">
      <x v="51"/>
    </i>
    <i r="1">
      <x v="53"/>
    </i>
    <i r="1">
      <x v="55"/>
    </i>
    <i r="1">
      <x v="57"/>
    </i>
    <i r="1">
      <x v="59"/>
    </i>
    <i r="1">
      <x v="61"/>
    </i>
    <i r="1">
      <x v="62"/>
    </i>
    <i r="1">
      <x v="64"/>
    </i>
    <i r="1">
      <x v="66"/>
    </i>
    <i r="1">
      <x v="68"/>
    </i>
    <i>
      <x v="23"/>
      <x/>
    </i>
    <i r="1">
      <x v="85"/>
    </i>
    <i r="1">
      <x v="99"/>
    </i>
    <i>
      <x v="24"/>
      <x v="82"/>
    </i>
    <i r="1">
      <x v="84"/>
    </i>
    <i r="1">
      <x v="86"/>
    </i>
    <i r="1">
      <x v="88"/>
    </i>
    <i r="1">
      <x v="89"/>
    </i>
    <i r="1">
      <x v="90"/>
    </i>
    <i r="1">
      <x v="94"/>
    </i>
    <i r="1">
      <x v="96"/>
    </i>
    <i r="1">
      <x v="98"/>
    </i>
    <i r="1">
      <x v="100"/>
    </i>
    <i>
      <x v="25"/>
      <x v="60"/>
    </i>
    <i r="1">
      <x v="62"/>
    </i>
    <i r="1">
      <x v="64"/>
    </i>
    <i r="1">
      <x v="66"/>
    </i>
    <i r="1">
      <x v="68"/>
    </i>
    <i r="1">
      <x v="71"/>
    </i>
    <i r="1">
      <x v="75"/>
    </i>
    <i r="1">
      <x v="77"/>
    </i>
    <i r="1">
      <x v="79"/>
    </i>
    <i r="1">
      <x v="81"/>
    </i>
    <i>
      <x v="26"/>
      <x/>
    </i>
    <i r="1">
      <x v="18"/>
    </i>
    <i r="1">
      <x v="20"/>
    </i>
    <i r="1">
      <x v="22"/>
    </i>
    <i r="1">
      <x v="24"/>
    </i>
    <i r="1">
      <x v="26"/>
    </i>
    <i>
      <x v="27"/>
      <x/>
    </i>
    <i r="1">
      <x v="31"/>
    </i>
    <i r="1">
      <x v="34"/>
    </i>
    <i r="1">
      <x v="36"/>
    </i>
    <i r="1">
      <x v="38"/>
    </i>
    <i r="1">
      <x v="39"/>
    </i>
    <i r="1">
      <x v="40"/>
    </i>
    <i r="1">
      <x v="42"/>
    </i>
    <i r="1">
      <x v="43"/>
    </i>
    <i r="1">
      <x v="45"/>
    </i>
    <i r="1">
      <x v="47"/>
    </i>
    <i r="1">
      <x v="49"/>
    </i>
    <i r="1">
      <x v="51"/>
    </i>
    <i r="1">
      <x v="53"/>
    </i>
    <i r="1">
      <x v="55"/>
    </i>
    <i r="1">
      <x v="57"/>
    </i>
    <i r="1">
      <x v="59"/>
    </i>
    <i r="1">
      <x v="61"/>
    </i>
    <i r="1">
      <x v="62"/>
    </i>
    <i r="1">
      <x v="64"/>
    </i>
    <i r="1">
      <x v="66"/>
    </i>
    <i r="1">
      <x v="68"/>
    </i>
    <i r="1">
      <x v="71"/>
    </i>
    <i r="1">
      <x v="75"/>
    </i>
    <i r="1">
      <x v="77"/>
    </i>
    <i r="1">
      <x v="79"/>
    </i>
    <i r="1">
      <x v="81"/>
    </i>
    <i r="1">
      <x v="83"/>
    </i>
    <i r="1">
      <x v="85"/>
    </i>
    <i r="1">
      <x v="87"/>
    </i>
    <i r="1">
      <x v="91"/>
    </i>
    <i r="1">
      <x v="93"/>
    </i>
    <i r="1">
      <x v="97"/>
    </i>
    <i r="1">
      <x v="98"/>
    </i>
    <i r="1">
      <x v="99"/>
    </i>
    <i r="1">
      <x v="100"/>
    </i>
    <i>
      <x v="28"/>
      <x/>
    </i>
    <i r="1">
      <x v="61"/>
    </i>
    <i r="1">
      <x v="62"/>
    </i>
    <i r="1">
      <x v="64"/>
    </i>
    <i r="1">
      <x v="66"/>
    </i>
    <i r="1">
      <x v="68"/>
    </i>
    <i r="1">
      <x v="71"/>
    </i>
    <i r="1">
      <x v="75"/>
    </i>
    <i r="1">
      <x v="77"/>
    </i>
    <i r="1">
      <x v="79"/>
    </i>
    <i r="1">
      <x v="81"/>
    </i>
    <i r="1">
      <x v="83"/>
    </i>
    <i r="1">
      <x v="85"/>
    </i>
    <i r="1">
      <x v="87"/>
    </i>
    <i r="1">
      <x v="91"/>
    </i>
    <i r="1">
      <x v="93"/>
    </i>
    <i r="1">
      <x v="97"/>
    </i>
    <i r="1">
      <x v="98"/>
    </i>
    <i r="1">
      <x v="99"/>
    </i>
    <i r="1">
      <x v="100"/>
    </i>
    <i>
      <x v="29"/>
      <x/>
    </i>
    <i r="1">
      <x v="85"/>
    </i>
    <i r="1">
      <x v="87"/>
    </i>
    <i r="1">
      <x v="91"/>
    </i>
    <i r="1">
      <x v="95"/>
    </i>
    <i r="1">
      <x v="97"/>
    </i>
    <i r="1">
      <x v="98"/>
    </i>
    <i r="1">
      <x v="99"/>
    </i>
    <i r="1">
      <x v="100"/>
    </i>
    <i>
      <x v="30"/>
      <x/>
    </i>
    <i r="1">
      <x v="31"/>
    </i>
    <i r="1">
      <x v="34"/>
    </i>
    <i r="1">
      <x v="36"/>
    </i>
    <i r="1">
      <x v="38"/>
    </i>
    <i r="1">
      <x v="39"/>
    </i>
    <i r="1">
      <x v="40"/>
    </i>
    <i r="1">
      <x v="43"/>
    </i>
    <i r="1">
      <x v="45"/>
    </i>
    <i r="1">
      <x v="47"/>
    </i>
    <i r="1">
      <x v="49"/>
    </i>
    <i r="1">
      <x v="51"/>
    </i>
    <i r="1">
      <x v="53"/>
    </i>
    <i r="1">
      <x v="55"/>
    </i>
    <i r="1">
      <x v="57"/>
    </i>
    <i r="1">
      <x v="59"/>
    </i>
    <i r="1">
      <x v="61"/>
    </i>
    <i r="1">
      <x v="62"/>
    </i>
    <i r="1">
      <x v="64"/>
    </i>
    <i r="1">
      <x v="66"/>
    </i>
    <i r="1">
      <x v="68"/>
    </i>
    <i>
      <x v="31"/>
      <x v="41"/>
    </i>
    <i>
      <x v="32"/>
      <x v="99"/>
    </i>
    <i r="1">
      <x v="100"/>
    </i>
    <i>
      <x v="33"/>
      <x/>
    </i>
    <i r="1">
      <x v="68"/>
    </i>
    <i r="1">
      <x v="71"/>
    </i>
    <i r="1">
      <x v="75"/>
    </i>
    <i r="1">
      <x v="77"/>
    </i>
    <i r="1">
      <x v="81"/>
    </i>
    <i r="1">
      <x v="83"/>
    </i>
    <i r="1">
      <x v="85"/>
    </i>
    <i r="1">
      <x v="87"/>
    </i>
    <i r="1">
      <x v="91"/>
    </i>
    <i>
      <x v="34"/>
      <x/>
    </i>
    <i r="1">
      <x v="83"/>
    </i>
    <i r="1">
      <x v="85"/>
    </i>
    <i r="1">
      <x v="87"/>
    </i>
    <i r="1">
      <x v="91"/>
    </i>
    <i r="1">
      <x v="93"/>
    </i>
    <i r="1">
      <x v="95"/>
    </i>
    <i r="1">
      <x v="97"/>
    </i>
    <i r="1">
      <x v="98"/>
    </i>
    <i r="1">
      <x v="99"/>
    </i>
    <i r="1">
      <x v="100"/>
    </i>
    <i>
      <x v="35"/>
      <x/>
    </i>
    <i r="1">
      <x v="18"/>
    </i>
    <i r="1">
      <x v="19"/>
    </i>
    <i r="1">
      <x v="25"/>
    </i>
    <i r="1">
      <x v="28"/>
    </i>
    <i r="1">
      <x v="30"/>
    </i>
    <i r="1">
      <x v="40"/>
    </i>
    <i r="1">
      <x v="42"/>
    </i>
    <i r="1">
      <x v="43"/>
    </i>
    <i r="1">
      <x v="45"/>
    </i>
    <i r="1">
      <x v="47"/>
    </i>
    <i r="1">
      <x v="49"/>
    </i>
    <i r="1">
      <x v="50"/>
    </i>
    <i r="1">
      <x v="52"/>
    </i>
    <i r="1">
      <x v="54"/>
    </i>
    <i r="1">
      <x v="56"/>
    </i>
    <i r="1">
      <x v="58"/>
    </i>
    <i r="1">
      <x v="60"/>
    </i>
    <i r="1">
      <x v="70"/>
    </i>
    <i r="1">
      <x v="73"/>
    </i>
    <i>
      <x v="36"/>
      <x/>
    </i>
    <i r="1">
      <x v="47"/>
    </i>
    <i>
      <x v="37"/>
      <x/>
    </i>
    <i r="1">
      <x v="61"/>
    </i>
    <i r="1">
      <x v="62"/>
    </i>
    <i r="1">
      <x v="64"/>
    </i>
    <i r="1">
      <x v="66"/>
    </i>
    <i r="1">
      <x v="68"/>
    </i>
    <i r="1">
      <x v="71"/>
    </i>
    <i r="1">
      <x v="75"/>
    </i>
    <i r="1">
      <x v="77"/>
    </i>
    <i r="1">
      <x v="79"/>
    </i>
    <i r="1">
      <x v="81"/>
    </i>
    <i r="1">
      <x v="83"/>
    </i>
    <i>
      <x v="38"/>
      <x v="37"/>
    </i>
    <i>
      <x v="39"/>
      <x v="30"/>
    </i>
    <i r="1">
      <x v="32"/>
    </i>
    <i r="1">
      <x v="35"/>
    </i>
    <i r="1">
      <x v="71"/>
    </i>
    <i r="1">
      <x v="75"/>
    </i>
    <i r="1">
      <x v="77"/>
    </i>
    <i r="1">
      <x v="79"/>
    </i>
    <i r="1">
      <x v="81"/>
    </i>
    <i r="1">
      <x v="83"/>
    </i>
    <i>
      <x v="40"/>
      <x v="44"/>
    </i>
    <i>
      <x v="41"/>
      <x/>
    </i>
    <i r="1">
      <x v="22"/>
    </i>
    <i r="1">
      <x v="24"/>
    </i>
    <i r="1">
      <x v="26"/>
    </i>
    <i r="1">
      <x v="29"/>
    </i>
    <i r="1">
      <x v="38"/>
    </i>
    <i r="1">
      <x v="39"/>
    </i>
    <i r="1">
      <x v="40"/>
    </i>
    <i r="1">
      <x v="42"/>
    </i>
    <i r="1">
      <x v="47"/>
    </i>
    <i r="1">
      <x v="49"/>
    </i>
    <i r="1">
      <x v="51"/>
    </i>
    <i r="1">
      <x v="53"/>
    </i>
    <i r="1">
      <x v="55"/>
    </i>
    <i r="1">
      <x v="57"/>
    </i>
    <i r="1">
      <x v="59"/>
    </i>
    <i r="1">
      <x v="61"/>
    </i>
    <i r="1">
      <x v="62"/>
    </i>
    <i r="1">
      <x v="64"/>
    </i>
    <i r="1">
      <x v="66"/>
    </i>
    <i r="1">
      <x v="68"/>
    </i>
    <i r="1">
      <x v="71"/>
    </i>
    <i r="1">
      <x v="75"/>
    </i>
    <i r="1">
      <x v="77"/>
    </i>
    <i r="1">
      <x v="79"/>
    </i>
    <i r="1">
      <x v="81"/>
    </i>
    <i r="1">
      <x v="83"/>
    </i>
    <i r="1">
      <x v="85"/>
    </i>
    <i r="1">
      <x v="87"/>
    </i>
    <i r="1">
      <x v="91"/>
    </i>
    <i r="1">
      <x v="93"/>
    </i>
    <i r="1">
      <x v="95"/>
    </i>
    <i r="1">
      <x v="97"/>
    </i>
    <i r="1">
      <x v="98"/>
    </i>
    <i>
      <x v="42"/>
      <x v="80"/>
    </i>
    <i r="1">
      <x v="82"/>
    </i>
    <i r="1">
      <x v="84"/>
    </i>
    <i r="1">
      <x v="86"/>
    </i>
    <i r="1">
      <x v="89"/>
    </i>
    <i>
      <x v="43"/>
      <x/>
    </i>
    <i r="1">
      <x v="28"/>
    </i>
    <i r="1">
      <x v="31"/>
    </i>
    <i r="1">
      <x v="33"/>
    </i>
    <i r="1">
      <x v="36"/>
    </i>
    <i r="1">
      <x v="38"/>
    </i>
    <i r="1">
      <x v="75"/>
    </i>
    <i r="1">
      <x v="77"/>
    </i>
    <i r="1">
      <x v="79"/>
    </i>
    <i r="1">
      <x v="81"/>
    </i>
    <i r="1">
      <x v="83"/>
    </i>
    <i r="1">
      <x v="85"/>
    </i>
    <i r="1">
      <x v="87"/>
    </i>
    <i r="1">
      <x v="91"/>
    </i>
    <i r="1">
      <x v="93"/>
    </i>
    <i r="1">
      <x v="97"/>
    </i>
    <i r="1">
      <x v="98"/>
    </i>
    <i r="1">
      <x v="99"/>
    </i>
    <i r="1">
      <x v="100"/>
    </i>
    <i>
      <x v="44"/>
      <x v="99"/>
    </i>
    <i r="1">
      <x v="100"/>
    </i>
    <i>
      <x v="45"/>
      <x v="92"/>
    </i>
    <i>
      <x v="46"/>
      <x/>
    </i>
    <i>
      <x v="47"/>
      <x v="29"/>
    </i>
    <i r="1">
      <x v="31"/>
    </i>
    <i r="1">
      <x v="34"/>
    </i>
    <i r="1">
      <x v="36"/>
    </i>
    <i r="1">
      <x v="38"/>
    </i>
    <i r="1">
      <x v="40"/>
    </i>
    <i r="1">
      <x v="42"/>
    </i>
    <i r="1">
      <x v="43"/>
    </i>
    <i r="1">
      <x v="45"/>
    </i>
    <i r="1">
      <x v="47"/>
    </i>
    <i r="1">
      <x v="49"/>
    </i>
    <i r="1">
      <x v="51"/>
    </i>
    <i r="1">
      <x v="53"/>
    </i>
    <i r="1">
      <x v="55"/>
    </i>
    <i r="1">
      <x v="57"/>
    </i>
    <i r="1">
      <x v="59"/>
    </i>
    <i>
      <x v="48"/>
      <x/>
    </i>
    <i r="1">
      <x v="83"/>
    </i>
    <i r="1">
      <x v="85"/>
    </i>
    <i r="1">
      <x v="87"/>
    </i>
    <i r="1">
      <x v="91"/>
    </i>
    <i r="1">
      <x v="93"/>
    </i>
    <i r="1">
      <x v="95"/>
    </i>
    <i r="1">
      <x v="97"/>
    </i>
    <i r="1">
      <x v="98"/>
    </i>
    <i r="1">
      <x v="99"/>
    </i>
    <i r="1">
      <x v="100"/>
    </i>
    <i>
      <x v="49"/>
      <x/>
    </i>
    <i>
      <x v="50"/>
      <x v="27"/>
    </i>
    <i r="1">
      <x v="67"/>
    </i>
    <i r="1">
      <x v="69"/>
    </i>
    <i r="1">
      <x v="72"/>
    </i>
    <i r="1">
      <x v="76"/>
    </i>
    <i r="1">
      <x v="78"/>
    </i>
    <i r="1">
      <x v="82"/>
    </i>
    <i r="1">
      <x v="84"/>
    </i>
    <i>
      <x v="51"/>
      <x/>
    </i>
    <i r="1">
      <x v="1"/>
    </i>
    <i r="1">
      <x v="2"/>
    </i>
    <i r="1">
      <x v="3"/>
    </i>
    <i r="1">
      <x v="4"/>
    </i>
    <i r="1">
      <x v="5"/>
    </i>
    <i r="1">
      <x v="6"/>
    </i>
    <i r="1">
      <x v="7"/>
    </i>
    <i r="1">
      <x v="8"/>
    </i>
    <i r="1">
      <x v="9"/>
    </i>
    <i r="1">
      <x v="10"/>
    </i>
    <i r="1">
      <x v="11"/>
    </i>
    <i r="1">
      <x v="12"/>
    </i>
    <i r="1">
      <x v="13"/>
    </i>
    <i r="1">
      <x v="14"/>
    </i>
    <i r="1">
      <x v="15"/>
    </i>
    <i r="1">
      <x v="16"/>
    </i>
    <i r="1">
      <x v="17"/>
    </i>
    <i r="1">
      <x v="18"/>
    </i>
    <i r="1">
      <x v="19"/>
    </i>
    <i r="1">
      <x v="21"/>
    </i>
    <i r="1">
      <x v="29"/>
    </i>
    <i r="1">
      <x v="31"/>
    </i>
    <i r="1">
      <x v="33"/>
    </i>
    <i r="1">
      <x v="36"/>
    </i>
    <i r="1">
      <x v="38"/>
    </i>
    <i r="1">
      <x v="39"/>
    </i>
    <i r="1">
      <x v="87"/>
    </i>
    <i r="1">
      <x v="91"/>
    </i>
    <i r="1">
      <x v="93"/>
    </i>
    <i r="1">
      <x v="97"/>
    </i>
    <i>
      <x v="52"/>
      <x/>
    </i>
    <i r="1">
      <x v="29"/>
    </i>
    <i r="1">
      <x v="31"/>
    </i>
    <i r="1">
      <x v="33"/>
    </i>
    <i r="1">
      <x v="36"/>
    </i>
    <i r="1">
      <x v="38"/>
    </i>
    <i r="1">
      <x v="39"/>
    </i>
    <i r="1">
      <x v="40"/>
    </i>
    <i r="1">
      <x v="42"/>
    </i>
    <i r="1">
      <x v="43"/>
    </i>
    <i r="1">
      <x v="45"/>
    </i>
    <i r="1">
      <x v="49"/>
    </i>
    <i r="1">
      <x v="51"/>
    </i>
    <i r="1">
      <x v="53"/>
    </i>
    <i r="1">
      <x v="55"/>
    </i>
    <i r="1">
      <x v="57"/>
    </i>
    <i r="1">
      <x v="59"/>
    </i>
    <i r="1">
      <x v="61"/>
    </i>
    <i r="1">
      <x v="62"/>
    </i>
    <i r="1">
      <x v="64"/>
    </i>
    <i r="1">
      <x v="66"/>
    </i>
    <i r="1">
      <x v="68"/>
    </i>
    <i r="1">
      <x v="71"/>
    </i>
    <i r="1">
      <x v="75"/>
    </i>
    <i r="1">
      <x v="77"/>
    </i>
    <i r="1">
      <x v="79"/>
    </i>
    <i r="1">
      <x v="81"/>
    </i>
    <i r="1">
      <x v="83"/>
    </i>
    <i r="1">
      <x v="85"/>
    </i>
    <i r="1">
      <x v="87"/>
    </i>
    <i r="1">
      <x v="91"/>
    </i>
    <i r="1">
      <x v="93"/>
    </i>
    <i r="1">
      <x v="95"/>
    </i>
    <i r="1">
      <x v="97"/>
    </i>
    <i r="1">
      <x v="98"/>
    </i>
    <i>
      <x v="53"/>
      <x/>
    </i>
    <i r="1">
      <x v="22"/>
    </i>
    <i r="1">
      <x v="24"/>
    </i>
    <i r="1">
      <x v="26"/>
    </i>
    <i r="1">
      <x v="29"/>
    </i>
    <i r="1">
      <x v="38"/>
    </i>
    <i r="1">
      <x v="39"/>
    </i>
    <i r="1">
      <x v="40"/>
    </i>
    <i r="1">
      <x v="42"/>
    </i>
    <i r="1">
      <x v="47"/>
    </i>
    <i r="1">
      <x v="49"/>
    </i>
    <i>
      <x v="54"/>
      <x/>
    </i>
    <i r="1">
      <x v="59"/>
    </i>
    <i r="1">
      <x v="61"/>
    </i>
    <i r="1">
      <x v="62"/>
    </i>
    <i r="1">
      <x v="64"/>
    </i>
    <i r="1">
      <x v="66"/>
    </i>
    <i r="1">
      <x v="68"/>
    </i>
    <i r="1">
      <x v="71"/>
    </i>
    <i r="1">
      <x v="74"/>
    </i>
    <i r="1">
      <x v="77"/>
    </i>
    <i r="1">
      <x v="81"/>
    </i>
    <i r="1">
      <x v="83"/>
    </i>
    <i r="1">
      <x v="85"/>
    </i>
    <i r="1">
      <x v="87"/>
    </i>
    <i r="1">
      <x v="91"/>
    </i>
    <i r="1">
      <x v="93"/>
    </i>
    <i r="1">
      <x v="95"/>
    </i>
    <i r="1">
      <x v="97"/>
    </i>
    <i r="1">
      <x v="98"/>
    </i>
    <i r="1">
      <x v="99"/>
    </i>
    <i r="1">
      <x v="100"/>
    </i>
    <i>
      <x v="55"/>
      <x/>
    </i>
    <i r="1">
      <x v="45"/>
    </i>
    <i r="1">
      <x v="47"/>
    </i>
    <i r="1">
      <x v="49"/>
    </i>
    <i r="1">
      <x v="51"/>
    </i>
    <i r="1">
      <x v="53"/>
    </i>
    <i r="1">
      <x v="55"/>
    </i>
    <i r="1">
      <x v="57"/>
    </i>
    <i r="1">
      <x v="59"/>
    </i>
    <i r="1">
      <x v="61"/>
    </i>
    <i r="1">
      <x v="62"/>
    </i>
    <i r="1">
      <x v="64"/>
    </i>
    <i r="1">
      <x v="66"/>
    </i>
    <i r="1">
      <x v="68"/>
    </i>
    <i r="1">
      <x v="71"/>
    </i>
    <i r="1">
      <x v="75"/>
    </i>
    <i r="1">
      <x v="77"/>
    </i>
    <i r="1">
      <x v="79"/>
    </i>
    <i r="1">
      <x v="81"/>
    </i>
    <i r="1">
      <x v="83"/>
    </i>
    <i r="1">
      <x v="85"/>
    </i>
    <i r="1">
      <x v="87"/>
    </i>
    <i r="1">
      <x v="91"/>
    </i>
    <i r="1">
      <x v="93"/>
    </i>
    <i r="1">
      <x v="95"/>
    </i>
    <i r="1">
      <x v="97"/>
    </i>
    <i r="1">
      <x v="98"/>
    </i>
    <i r="1">
      <x v="99"/>
    </i>
    <i r="1">
      <x v="100"/>
    </i>
    <i>
      <x v="56"/>
      <x/>
    </i>
    <i r="1">
      <x v="87"/>
    </i>
    <i r="1">
      <x v="91"/>
    </i>
    <i r="1">
      <x v="93"/>
    </i>
    <i r="1">
      <x v="97"/>
    </i>
    <i r="1">
      <x v="99"/>
    </i>
    <i r="1">
      <x v="100"/>
    </i>
    <i>
      <x v="57"/>
      <x/>
    </i>
    <i r="1">
      <x v="62"/>
    </i>
    <i>
      <x v="58"/>
      <x v="7"/>
    </i>
    <i r="1">
      <x v="8"/>
    </i>
    <i r="1">
      <x v="9"/>
    </i>
    <i r="1">
      <x v="10"/>
    </i>
    <i r="1">
      <x v="11"/>
    </i>
    <i r="1">
      <x v="12"/>
    </i>
    <i r="1">
      <x v="13"/>
    </i>
    <i r="1">
      <x v="14"/>
    </i>
    <i r="1">
      <x v="15"/>
    </i>
    <i r="1">
      <x v="16"/>
    </i>
    <i r="1">
      <x v="17"/>
    </i>
    <i r="1">
      <x v="18"/>
    </i>
    <i>
      <x v="59"/>
      <x v="18"/>
    </i>
    <i r="1">
      <x v="19"/>
    </i>
    <i r="1">
      <x v="21"/>
    </i>
    <i r="1">
      <x v="25"/>
    </i>
    <i r="1">
      <x v="101"/>
    </i>
    <i t="grand">
      <x/>
    </i>
  </rowItems>
  <colItems count="1">
    <i/>
  </colItems>
  <dataFields count="1">
    <dataField name="Sum of Newway Hour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8AAFD2-C2CB-4A5B-B331-89A802133C8B}"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I66" firstHeaderRow="1" firstDataRow="3" firstDataCol="1"/>
  <pivotFields count="21">
    <pivotField axis="axisCol" showAll="0" sumSubtotal="1">
      <items count="105">
        <item x="16"/>
        <item x="60"/>
        <item x="54"/>
        <item x="55"/>
        <item x="56"/>
        <item x="57"/>
        <item x="58"/>
        <item x="59"/>
        <item x="0"/>
        <item x="1"/>
        <item x="2"/>
        <item x="3"/>
        <item x="4"/>
        <item x="5"/>
        <item x="6"/>
        <item x="7"/>
        <item x="8"/>
        <item x="9"/>
        <item x="10"/>
        <item x="11"/>
        <item x="36"/>
        <item x="12"/>
        <item x="102"/>
        <item x="13"/>
        <item x="61"/>
        <item x="14"/>
        <item x="85"/>
        <item x="15"/>
        <item x="98"/>
        <item x="86"/>
        <item x="17"/>
        <item x="87"/>
        <item x="18"/>
        <item x="89"/>
        <item x="19"/>
        <item x="26"/>
        <item x="90"/>
        <item x="20"/>
        <item x="88"/>
        <item x="21"/>
        <item x="22"/>
        <item x="23"/>
        <item x="80"/>
        <item x="24"/>
        <item x="27"/>
        <item x="64"/>
        <item x="28"/>
        <item x="65"/>
        <item x="29"/>
        <item x="66"/>
        <item x="30"/>
        <item x="81"/>
        <item x="51"/>
        <item x="31"/>
        <item x="67"/>
        <item x="32"/>
        <item x="68"/>
        <item x="33"/>
        <item x="52"/>
        <item x="34"/>
        <item x="25"/>
        <item x="35"/>
        <item x="53"/>
        <item x="37"/>
        <item x="38"/>
        <item x="69"/>
        <item x="39"/>
        <item x="63"/>
        <item x="40"/>
        <item x="93"/>
        <item x="41"/>
        <item x="94"/>
        <item x="83"/>
        <item x="42"/>
        <item x="95"/>
        <item x="84"/>
        <item x="62"/>
        <item x="43"/>
        <item x="96"/>
        <item x="44"/>
        <item x="97"/>
        <item x="45"/>
        <item x="91"/>
        <item x="46"/>
        <item x="70"/>
        <item x="47"/>
        <item x="71"/>
        <item x="48"/>
        <item x="72"/>
        <item x="49"/>
        <item x="73"/>
        <item x="74"/>
        <item x="75"/>
        <item x="50"/>
        <item x="92"/>
        <item x="99"/>
        <item x="76"/>
        <item x="100"/>
        <item x="77"/>
        <item x="101"/>
        <item x="78"/>
        <item x="82"/>
        <item x="79"/>
        <item x="103"/>
        <item t="sum"/>
      </items>
    </pivotField>
    <pivotField axis="axisRow" showAll="0">
      <items count="61">
        <item x="1"/>
        <item x="2"/>
        <item x="3"/>
        <item x="4"/>
        <item x="5"/>
        <item x="6"/>
        <item x="9"/>
        <item x="7"/>
        <item x="8"/>
        <item x="10"/>
        <item x="11"/>
        <item x="12"/>
        <item x="13"/>
        <item x="14"/>
        <item x="15"/>
        <item x="16"/>
        <item x="17"/>
        <item x="42"/>
        <item x="44"/>
        <item x="43"/>
        <item x="18"/>
        <item x="19"/>
        <item x="20"/>
        <item x="45"/>
        <item x="21"/>
        <item x="22"/>
        <item x="23"/>
        <item x="46"/>
        <item x="47"/>
        <item x="48"/>
        <item x="25"/>
        <item x="24"/>
        <item x="26"/>
        <item x="27"/>
        <item x="49"/>
        <item x="28"/>
        <item x="29"/>
        <item x="50"/>
        <item x="30"/>
        <item x="31"/>
        <item x="32"/>
        <item x="51"/>
        <item x="33"/>
        <item x="52"/>
        <item x="34"/>
        <item x="35"/>
        <item x="36"/>
        <item x="37"/>
        <item x="53"/>
        <item x="38"/>
        <item x="39"/>
        <item x="54"/>
        <item x="55"/>
        <item x="40"/>
        <item x="56"/>
        <item x="57"/>
        <item x="58"/>
        <item x="41"/>
        <item x="59"/>
        <item x="0"/>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7">
        <item sd="0" x="0"/>
        <item sd="0" x="1"/>
        <item n="2018" sd="0" x="3"/>
        <item n="2019" sd="0" x="5"/>
        <item n="2020" sd="0" x="4"/>
        <item x="2"/>
        <item t="default"/>
      </items>
    </pivotField>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2">
    <field x="20"/>
    <field x="0"/>
  </colFields>
  <colItems count="8">
    <i>
      <x/>
    </i>
    <i>
      <x v="1"/>
    </i>
    <i>
      <x v="2"/>
    </i>
    <i>
      <x v="3"/>
    </i>
    <i>
      <x v="4"/>
    </i>
    <i>
      <x v="5"/>
      <x v="103"/>
    </i>
    <i t="default">
      <x v="5"/>
    </i>
    <i t="grand">
      <x/>
    </i>
  </colItems>
  <dataFields count="1">
    <dataField name="Sum of Newway Hour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06EB461-2AFB-4BE6-A93A-7CE9203398BF}" name="PivotTable7"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B56" firstHeaderRow="2" firstDataRow="2" firstDataCol="1" rowPageCount="1" colPageCount="1"/>
  <pivotFields count="21">
    <pivotField axis="axisPage" compact="0" outline="0" multipleItemSelectionAllowed="1" showAll="0">
      <items count="105">
        <item h="1" x="16"/>
        <item x="60"/>
        <item x="54"/>
        <item x="55"/>
        <item x="56"/>
        <item x="57"/>
        <item x="58"/>
        <item x="59"/>
        <item x="0"/>
        <item x="1"/>
        <item x="2"/>
        <item x="3"/>
        <item x="4"/>
        <item x="5"/>
        <item x="6"/>
        <item x="7"/>
        <item x="8"/>
        <item x="9"/>
        <item x="10"/>
        <item x="11"/>
        <item x="36"/>
        <item x="12"/>
        <item x="102"/>
        <item x="13"/>
        <item x="61"/>
        <item x="14"/>
        <item x="85"/>
        <item x="15"/>
        <item x="98"/>
        <item x="86"/>
        <item x="17"/>
        <item x="87"/>
        <item x="18"/>
        <item x="89"/>
        <item x="19"/>
        <item x="26"/>
        <item x="90"/>
        <item x="20"/>
        <item x="88"/>
        <item x="21"/>
        <item x="22"/>
        <item x="23"/>
        <item x="80"/>
        <item x="24"/>
        <item x="27"/>
        <item x="64"/>
        <item x="28"/>
        <item x="65"/>
        <item x="29"/>
        <item x="66"/>
        <item x="30"/>
        <item x="81"/>
        <item x="51"/>
        <item x="31"/>
        <item x="67"/>
        <item x="32"/>
        <item x="68"/>
        <item x="33"/>
        <item x="52"/>
        <item x="34"/>
        <item x="25"/>
        <item x="35"/>
        <item x="53"/>
        <item x="37"/>
        <item x="38"/>
        <item x="69"/>
        <item x="39"/>
        <item x="63"/>
        <item x="40"/>
        <item x="93"/>
        <item x="41"/>
        <item x="94"/>
        <item x="83"/>
        <item x="42"/>
        <item x="95"/>
        <item x="84"/>
        <item x="62"/>
        <item x="43"/>
        <item x="96"/>
        <item x="44"/>
        <item x="97"/>
        <item x="45"/>
        <item x="91"/>
        <item x="46"/>
        <item x="70"/>
        <item x="47"/>
        <item x="71"/>
        <item x="48"/>
        <item x="72"/>
        <item x="49"/>
        <item x="73"/>
        <item x="74"/>
        <item x="75"/>
        <item x="50"/>
        <item x="92"/>
        <item x="99"/>
        <item x="76"/>
        <item x="100"/>
        <item x="77"/>
        <item x="101"/>
        <item x="78"/>
        <item x="82"/>
        <item x="79"/>
        <item x="103"/>
        <item t="default"/>
      </items>
    </pivotField>
    <pivotField axis="axisRow" compact="0" outline="0" showAll="0">
      <items count="61">
        <item x="1"/>
        <item x="2"/>
        <item x="3"/>
        <item x="4"/>
        <item x="5"/>
        <item x="6"/>
        <item x="9"/>
        <item x="7"/>
        <item x="8"/>
        <item x="10"/>
        <item x="11"/>
        <item x="12"/>
        <item x="13"/>
        <item x="14"/>
        <item x="15"/>
        <item x="16"/>
        <item x="17"/>
        <item x="42"/>
        <item x="44"/>
        <item x="43"/>
        <item x="18"/>
        <item x="19"/>
        <item x="20"/>
        <item x="45"/>
        <item x="21"/>
        <item x="22"/>
        <item x="23"/>
        <item x="46"/>
        <item x="47"/>
        <item x="48"/>
        <item x="25"/>
        <item x="24"/>
        <item x="26"/>
        <item x="27"/>
        <item x="49"/>
        <item x="28"/>
        <item x="29"/>
        <item x="50"/>
        <item x="30"/>
        <item x="31"/>
        <item x="32"/>
        <item x="51"/>
        <item x="33"/>
        <item x="52"/>
        <item x="34"/>
        <item x="35"/>
        <item x="36"/>
        <item x="37"/>
        <item x="53"/>
        <item x="38"/>
        <item x="39"/>
        <item x="54"/>
        <item x="55"/>
        <item x="40"/>
        <item x="56"/>
        <item x="57"/>
        <item x="58"/>
        <item h="1" x="41"/>
        <item x="59"/>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7">
        <item h="1" x="0"/>
        <item x="1"/>
        <item x="3"/>
        <item x="5"/>
        <item x="4"/>
        <item x="2"/>
        <item t="default"/>
      </items>
    </pivotField>
  </pivotFields>
  <rowFields count="1">
    <field x="1"/>
  </rowFields>
  <rowItems count="52">
    <i>
      <x/>
    </i>
    <i>
      <x v="2"/>
    </i>
    <i>
      <x v="3"/>
    </i>
    <i>
      <x v="6"/>
    </i>
    <i>
      <x v="7"/>
    </i>
    <i>
      <x v="8"/>
    </i>
    <i>
      <x v="9"/>
    </i>
    <i>
      <x v="10"/>
    </i>
    <i>
      <x v="12"/>
    </i>
    <i>
      <x v="13"/>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7"/>
    </i>
    <i>
      <x v="48"/>
    </i>
    <i>
      <x v="50"/>
    </i>
    <i>
      <x v="51"/>
    </i>
    <i>
      <x v="52"/>
    </i>
    <i>
      <x v="53"/>
    </i>
    <i>
      <x v="54"/>
    </i>
    <i>
      <x v="55"/>
    </i>
    <i>
      <x v="56"/>
    </i>
    <i>
      <x v="58"/>
    </i>
    <i t="grand">
      <x/>
    </i>
  </rowItems>
  <colItems count="1">
    <i/>
  </colItems>
  <pageFields count="1">
    <pageField fld="0" hier="-1"/>
  </pageFields>
  <dataFields count="1">
    <dataField name="Average of Hourly Rate" fld="12" subtotal="average" baseField="1" baseItem="9"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0-09-24T19:28:29.89" personId="{31CD1E5D-A850-4985-9616-4A6BC7FCF185}" id="{F7FFC59F-A827-41DA-9B07-EA4B143E5F98}">
    <text>Source: baja paystubs</text>
  </threadedComment>
  <threadedComment ref="D1" dT="2020-09-24T19:40:21.27" personId="{31CD1E5D-A850-4985-9616-4A6BC7FCF185}" id="{4273EFEE-FB08-4DA9-A4D3-119FAB3C4A3C}">
    <text>Source: baja paystubs</text>
  </threadedComment>
  <threadedComment ref="E1" dT="2020-09-24T19:40:29.53" personId="{31CD1E5D-A850-4985-9616-4A6BC7FCF185}" id="{8068242D-7E2B-495A-A2F7-28608BB45067}">
    <text>Source: baja paystubs</text>
  </threadedComment>
  <threadedComment ref="F1" dT="2020-09-24T19:42:03.29" personId="{31CD1E5D-A850-4985-9616-4A6BC7FCF185}" id="{C2A4A738-670F-4089-8077-39F7B046B6AE}">
    <text>Source: baja paystubs</text>
  </threadedComment>
  <threadedComment ref="N1" dT="2020-09-24T19:42:17.73" personId="{31CD1E5D-A850-4985-9616-4A6BC7FCF185}" id="{1F745C1B-0C98-44AA-898D-B0AB4E692D0F}">
    <text>Source: Baja Newway Invoice Hours Spreadsheet</text>
  </threadedComment>
  <threadedComment ref="O1" dT="2020-09-24T21:05:15.52" personId="{31CD1E5D-A850-4985-9616-4A6BC7FCF185}" id="{4A65D3E2-44EA-42DA-B0A8-47F863D851C8}">
    <text>Represents back wages for OT, unless it is green in which case it represents OT plus regular hours.</text>
  </threadedComment>
  <threadedComment ref="A2" dT="2020-11-09T21:01:23.63" personId="{6BF21425-F8F7-4CB0-9431-EC4C585CED8A}" id="{C431F7AF-9E46-4506-A013-81029FD716A6}">
    <text>Not on Baja payroll. Only on Newway timesheet.</text>
  </threadedComment>
  <threadedComment ref="M14" dT="2020-09-17T23:01:56.45" personId="{6BF21425-F8F7-4CB0-9431-EC4C585CED8A}" id="{778BB739-0AA6-455D-A2C8-E8131ACBA8D9}">
    <text>All highlighted rows is an average of workers hourly rates.</text>
  </threadedComment>
  <threadedComment ref="A20" dT="2020-09-16T23:25:32.54" personId="{6BF21425-F8F7-4CB0-9431-EC4C585CED8A}" id="{175C649E-73A9-47F7-9416-676E2F5D7BE5}">
    <text>Not on Newway timesheet.</text>
  </threadedComment>
  <threadedComment ref="A29" dT="2020-09-10T18:34:43.27" personId="{6BF21425-F8F7-4CB0-9431-EC4C585CED8A}" id="{84FD455E-39C0-4320-BD31-90917505ED5E}">
    <text>Not on Newway timesheet and no Baja paystub, but listed on Baja payroll. This pay period and next.</text>
  </threadedComment>
  <threadedComment ref="A31" dT="2020-09-10T16:00:25.52" personId="{6BF21425-F8F7-4CB0-9431-EC4C585CED8A}" id="{C9F4D590-E7FE-463B-BEA9-0BA49DA28802}">
    <text>No paystubs and not listed on Baja payroll only on Newway timesheet.</text>
  </threadedComment>
  <threadedComment ref="M45" dT="2020-09-17T00:20:07.22" personId="{6BF21425-F8F7-4CB0-9431-EC4C585CED8A}" id="{E3836197-5C07-444B-8311-BB0155A0A666}">
    <text>Changed from the $9.88 MW, below the minimum compensation for 2019.</text>
  </threadedComment>
  <threadedComment ref="A48" dT="2020-09-10T18:53:53.93" personId="{6BF21425-F8F7-4CB0-9431-EC4C585CED8A}" id="{3AC837B3-15E3-4B9E-B101-DF55139432C4}">
    <text>Not on Newway timesheet. All highlighted rows.</text>
  </threadedComment>
  <threadedComment ref="A56" dT="2020-09-17T16:58:18.83" personId="{6BF21425-F8F7-4CB0-9431-EC4C585CED8A}" id="{B4062088-A477-463D-8382-B42F90DA5D09}">
    <text>Not on Newway timesheet. All highlighted rows.</text>
  </threadedComment>
  <threadedComment ref="A77" dT="2020-09-16T18:07:27.72" personId="{6BF21425-F8F7-4CB0-9431-EC4C585CED8A}" id="{945DF657-142C-420B-B7CB-1970B704BBC6}">
    <text>Two 1/4 checks. I combined the two gross amounts and bonus.</text>
  </threadedComment>
  <threadedComment ref="A78" dT="2020-09-16T18:07:48.73" personId="{6BF21425-F8F7-4CB0-9431-EC4C585CED8A}" id="{28EDA23C-134D-4C11-B09A-EA1131232DA3}">
    <text>Two 1/18 checks should we combine them?</text>
  </threadedComment>
  <threadedComment ref="A84" dT="2020-09-16T18:19:48.22" personId="{6BF21425-F8F7-4CB0-9431-EC4C585CED8A}" id="{3F1B8BF2-795D-41E7-99A0-1FFE4EACBEB4}">
    <text>Two checks for same pay period on 4/12.</text>
  </threadedComment>
  <threadedComment ref="A110" dT="2020-09-10T19:16:59.14" personId="{6BF21425-F8F7-4CB0-9431-EC4C585CED8A}" id="{D9B130F3-76C6-4B86-BDAC-4BDCD0B11C2D}">
    <text>Highlighted rows not on Newway timesheet</text>
  </threadedComment>
  <threadedComment ref="M120" dT="2020-09-17T00:23:07.94" personId="{6BF21425-F8F7-4CB0-9431-EC4C585CED8A}" id="{F5D133B2-36C5-4A1B-99C1-7D52B2A8D759}">
    <text>Adjusted from the $11.43 MW, below the minimum compensation for 2019.</text>
  </threadedComment>
  <threadedComment ref="A186" dT="2020-09-16T21:16:16.45" personId="{6BF21425-F8F7-4CB0-9431-EC4C585CED8A}" id="{10766720-EE73-4014-91FB-E8085337F211}">
    <text>All highlighted rows not on Newway timesheet.</text>
  </threadedComment>
  <threadedComment ref="A192" dT="2020-09-10T00:39:41.76" personId="{6BF21425-F8F7-4CB0-9431-EC4C585CED8A}" id="{D6F12EBF-B15F-4DD6-8C15-589A226B6F14}">
    <text>Not listed on Newway timesheet</text>
  </threadedComment>
  <threadedComment ref="A202" dT="2020-09-16T21:20:31.90" personId="{6BF21425-F8F7-4CB0-9431-EC4C585CED8A}" id="{F6F204F9-0C53-44C1-B95D-5B375CB6C79A}">
    <text>All highlighted rows not on Newway timesheet.</text>
  </threadedComment>
  <threadedComment ref="F202" dT="2020-09-16T21:18:11.73" personId="{6BF21425-F8F7-4CB0-9431-EC4C585CED8A}" id="{86E67719-B4DD-474A-93A1-71D3E1607DD5}">
    <text>Includes loan to pay of $1000</text>
  </threadedComment>
  <threadedComment ref="A217" dT="2020-09-10T16:16:03.85" personId="{6BF21425-F8F7-4CB0-9431-EC4C585CED8A}" id="{A4CCDA43-8A68-4414-9FC8-6D92A469F9CF}">
    <text>No paystubs and not listed on Baja payroll only on Newway timesheet.</text>
  </threadedComment>
  <threadedComment ref="A218" dT="2020-09-10T16:15:54.98" personId="{6BF21425-F8F7-4CB0-9431-EC4C585CED8A}" id="{6FCAD113-99E9-4250-ABAA-CD9232BF553F}">
    <text>No paystubs and not listed on Baja payroll only on Newway timesheet. All highlighted rows.</text>
  </threadedComment>
  <threadedComment ref="A232" dT="2020-09-01T21:41:07.69" personId="{6BF21425-F8F7-4CB0-9431-EC4C585CED8A}" id="{7FD5644E-88F1-4A79-92CA-5DD2E6DCD42B}">
    <text>Not on Newway timesheet</text>
  </threadedComment>
  <threadedComment ref="F263" dT="2020-09-01T21:36:07.29" personId="{6BF21425-F8F7-4CB0-9431-EC4C585CED8A}" id="{F40255A4-168B-42AE-B86E-DCFDBEE30AD2}">
    <text>Includes 6 hours of OT</text>
  </threadedComment>
  <threadedComment ref="A267" dT="2020-09-16T21:22:51.94" personId="{6BF21425-F8F7-4CB0-9431-EC4C585CED8A}" id="{E065F4BE-2EA6-4355-8E5D-C819BF923585}">
    <text>Not listed on Newway timesheet.</text>
  </threadedComment>
  <threadedComment ref="A290" dT="2020-09-10T20:10:05.44" personId="{6BF21425-F8F7-4CB0-9431-EC4C585CED8A}" id="{2BC5FDE0-1F83-474D-8615-EF2F33A4583D}">
    <text>Not on Newway timesheet. This pay period and next.</text>
  </threadedComment>
  <threadedComment ref="A293" dT="2020-09-16T21:24:00.98" personId="{6BF21425-F8F7-4CB0-9431-EC4C585CED8A}" id="{0193746B-585C-4473-84E0-59AC39AEF37C}">
    <text>Not listed on Newway timesheet. Next three pay periods.</text>
  </threadedComment>
  <threadedComment ref="A299" dT="2020-09-16T21:24:58.05" personId="{6BF21425-F8F7-4CB0-9431-EC4C585CED8A}" id="{114FB9C2-DFC6-40E7-8DFE-5E928145EFF9}">
    <text>Not listed on Newway timesheet. This ay period and next.</text>
  </threadedComment>
  <threadedComment ref="A313" dT="2020-09-10T16:25:28.44" personId="{6BF21425-F8F7-4CB0-9431-EC4C585CED8A}" id="{494BAA2B-0D17-4938-AAD3-DB7714AFEF82}">
    <text>No paystubs and not listed on Baja payroll only on Newway timesheet. All highlighted rows.</text>
  </threadedComment>
  <threadedComment ref="B333" dT="2021-01-28T20:31:28.41" personId="{7E2EC8D9-1AB3-4134-9228-905A19A553B2}" id="{68A93E46-69A9-4D70-AD8C-495850FDFD29}">
    <text>We determined that the person listed as Camilo Diaz on the timesheets was listed as John Diaz in the payroll records. The pay dates and fluctuations in earnings align with the timesheet pay periods and go up and down roughly in accordance with total hours worked in that PP.</text>
  </threadedComment>
  <threadedComment ref="A341" dT="2020-09-10T16:27:41.69" personId="{6BF21425-F8F7-4CB0-9431-EC4C585CED8A}" id="{DE9DD7DC-8B87-4215-9344-040F45BD775D}">
    <text>No paystubs and not listed on Baja payroll only on Newway timesheet.</text>
  </threadedComment>
  <threadedComment ref="A348" dT="2020-09-03T22:54:17.14" personId="{6BF21425-F8F7-4CB0-9431-EC4C585CED8A}" id="{DBC1C201-DE9B-4B2A-B107-93AA6B6991B6}">
    <text>Not on Newway timesheet</text>
  </threadedComment>
  <threadedComment ref="M354" dT="2020-09-17T00:28:13.21" personId="{6BF21425-F8F7-4CB0-9431-EC4C585CED8A}" id="{D7B9AB14-CF52-4E3D-BE6E-99DCFF06D965}">
    <text>Hourly rate was $6.03, below the minimum compensation for 2019.</text>
  </threadedComment>
  <threadedComment ref="M355" dT="2020-09-17T00:34:38.10" personId="{6BF21425-F8F7-4CB0-9431-EC4C585CED8A}" id="{CAAF6563-52EB-4CD4-9290-BB94EA0C002A}">
    <text>Changed frm $8.18 hourly rate, to minimum compensation for 2019.</text>
  </threadedComment>
  <threadedComment ref="R363" dT="2021-01-27T20:20:56.04" personId="{6BF21425-F8F7-4CB0-9431-EC4C585CED8A}" id="{F86004E1-4A2B-4920-8CC0-EDC86DB42AB9}">
    <text>Based off unathorized deductions.</text>
  </threadedComment>
  <threadedComment ref="A365" dT="2020-09-03T22:35:18.42" personId="{6BF21425-F8F7-4CB0-9431-EC4C585CED8A}" id="{119EB838-9C96-4B5D-9DFE-94B69EF281F9}">
    <text>Not listed on Newway timesheet</text>
  </threadedComment>
  <threadedComment ref="F370" dT="2020-09-03T22:28:45.59" personId="{6BF21425-F8F7-4CB0-9431-EC4C585CED8A}" id="{A1263387-D066-41AE-A3AF-B70DF12BB27D}">
    <text>Minus $1000 loan.</text>
  </threadedComment>
  <threadedComment ref="A375" dT="2021-01-27T20:24:36.68" personId="{6BF21425-F8F7-4CB0-9431-EC4C585CED8A}" id="{278384DC-0C54-4319-B6EB-70DD809DF208}">
    <text>Listed on Baja timesheet but no Baja paystubs.</text>
  </threadedComment>
  <threadedComment ref="A382" dT="2020-09-04T00:05:01.65" personId="{6BF21425-F8F7-4CB0-9431-EC4C585CED8A}" id="{BBCC82D0-15A7-47AA-9877-7D2AAB489E5D}">
    <text>Next 4 weeks not listed on Newway timesheet</text>
  </threadedComment>
  <threadedComment ref="A392" dT="2021-01-27T20:28:28.11" personId="{6BF21425-F8F7-4CB0-9431-EC4C585CED8A}" id="{F64D37D7-467A-40D6-A51E-3011DF1D6F69}">
    <text>Listed on Baja timesheet, but no Baja paystubs.</text>
  </threadedComment>
  <threadedComment ref="A398" dT="2020-09-04T01:37:04.64" personId="{6BF21425-F8F7-4CB0-9431-EC4C585CED8A}" id="{7877BC6F-7C74-4637-8420-4B9313DC0DF6}">
    <text>Not listed on Newway timesheet next 5 weeks</text>
  </threadedComment>
  <threadedComment ref="A404" dT="2020-09-10T16:32:42.29" personId="{6BF21425-F8F7-4CB0-9431-EC4C585CED8A}" id="{01991D22-1050-4FEC-95DC-3ECBEB0836BC}">
    <text>Listed on Baja timesheets, but no Baja paystubs.</text>
  </threadedComment>
  <threadedComment ref="F410" dT="2020-09-04T01:24:36.35" personId="{6BF21425-F8F7-4CB0-9431-EC4C585CED8A}" id="{BE1E9CED-56D0-42F8-BCAE-2685139DE85C}">
    <text>Minus $1000 loan</text>
  </threadedComment>
  <threadedComment ref="A414" dT="2020-09-10T16:31:27.15" personId="{6BF21425-F8F7-4CB0-9431-EC4C585CED8A}" id="{94B28E4C-EFE8-4537-AD5B-3FD07C1D65E0}">
    <text>Listed on Baja timesheet, but no Baja paystub.</text>
  </threadedComment>
  <threadedComment ref="A415" dT="2020-09-10T16:39:47.45" personId="{6BF21425-F8F7-4CB0-9431-EC4C585CED8A}" id="{F0EC8308-4B55-406E-9217-6CB751ACD5FE}">
    <text>Listed on Baja timsheet, but no Baja paystub.</text>
  </threadedComment>
  <threadedComment ref="R420" dT="2021-01-27T20:36:03.72" personId="{6BF21425-F8F7-4CB0-9431-EC4C585CED8A}" id="{F5351542-EB14-4BE5-9F27-96138F7062ED}">
    <text>Based off other WT violations.</text>
  </threadedComment>
  <threadedComment ref="A422" dT="2021-01-27T20:35:04.25" personId="{6BF21425-F8F7-4CB0-9431-EC4C585CED8A}" id="{C6A05E50-EE39-4EE0-844F-1EA4F691590B}">
    <text>Listed on Baja timesheet, but no paystub.</text>
  </threadedComment>
  <threadedComment ref="A451" dT="2020-11-09T20:42:27.40" personId="{6BF21425-F8F7-4CB0-9431-EC4C585CED8A}" id="{A5EEB617-CBEF-4D81-9074-51533A7020AE}">
    <text>Listed on Baja timesheet, but no Baja paystub.</text>
  </threadedComment>
  <threadedComment ref="N453" dT="2020-11-09T20:35:42.35" personId="{6BF21425-F8F7-4CB0-9431-EC4C585CED8A}" id="{FDAE8225-C794-41C0-8664-309BF8855D27}">
    <text>53.5 in one week.</text>
  </threadedComment>
  <threadedComment ref="A456" dT="2020-09-10T17:10:25.71" personId="{6BF21425-F8F7-4CB0-9431-EC4C585CED8A}" id="{090B185D-6A15-4763-B2F7-13BA1785364A}">
    <text>Listed on Baja timesheet, but no Baja paystub.</text>
  </threadedComment>
  <threadedComment ref="A467" dT="2020-09-09T22:40:42.45" personId="{6BF21425-F8F7-4CB0-9431-EC4C585CED8A}" id="{850A03FE-F082-4BE7-8A19-8B04E24CF9E5}">
    <text>Not on Newway timesheet</text>
  </threadedComment>
  <threadedComment ref="A469" dT="2020-09-09T22:46:02.88" personId="{6BF21425-F8F7-4CB0-9431-EC4C585CED8A}" id="{8D89D4BA-7D13-4BD9-AA6F-1B5DA0BBF285}">
    <text>Next 3 weeks not on Newway timesheet</text>
  </threadedComment>
  <threadedComment ref="A476" dT="2020-09-09T22:45:46.58" personId="{6BF21425-F8F7-4CB0-9431-EC4C585CED8A}" id="{836AEE6A-D24A-4979-BDB4-17B5ABFCF05A}">
    <text>This week and next not on Newway timesheet</text>
  </threadedComment>
  <threadedComment ref="A480" dT="2020-09-10T00:36:46.75" personId="{6BF21425-F8F7-4CB0-9431-EC4C585CED8A}" id="{9A7F8FB2-A99B-465B-A563-8054ECB30F96}">
    <text>All highlighted rows are not on Newway timesheet for Ruben</text>
  </threadedComment>
  <threadedComment ref="A509" dT="2021-01-27T20:54:24.65" personId="{6BF21425-F8F7-4CB0-9431-EC4C585CED8A}" id="{3B8067B9-3EBC-4D98-90E8-50D61807AD55}">
    <text>Listed on Baja timesheet, but no Baja paystub.</text>
  </threadedComment>
  <threadedComment ref="F510" dT="2020-09-01T00:13:40.51" personId="{6BF21425-F8F7-4CB0-9431-EC4C585CED8A}" id="{8BE2FF69-4BB7-45D2-A5C0-9DB550EBF0EA}">
    <text>Includes 1.5 of OT</text>
  </threadedComment>
  <threadedComment ref="A512" dT="2020-09-01T17:05:10.85" personId="{6BF21425-F8F7-4CB0-9431-EC4C585CED8A}" id="{74ABD686-83B3-4102-8C96-6F3369AA9588}">
    <text>This and the next date not listed on Newway timesheet</text>
  </threadedComment>
  <threadedComment ref="F515" dT="2020-09-01T00:42:48.01" personId="{6BF21425-F8F7-4CB0-9431-EC4C585CED8A}" id="{1835BEF8-4C6C-4399-A6AA-30A7217AD1BE}">
    <text>Includes 29.50 of OT</text>
  </threadedComment>
  <threadedComment ref="F516" dT="2020-10-05T18:08:34.54" personId="{6BF21425-F8F7-4CB0-9431-EC4C585CED8A}" id="{B1D8B7F9-C990-4C45-8FB5-0AC4B7E2A16B}">
    <text>Includes 30.50 hours of OT, according to paystub.</text>
  </threadedComment>
  <threadedComment ref="M538" dT="2020-09-17T00:38:03.55" personId="{6BF21425-F8F7-4CB0-9431-EC4C585CED8A}" id="{CBE3DA09-DD9B-4296-9C82-A5380B609D2D}">
    <text>adjusted from $9.75 hourly rate, to MW compensation for 2019.</text>
  </threadedComment>
  <threadedComment ref="M545" dT="2020-09-17T00:40:08.23" personId="{6BF21425-F8F7-4CB0-9431-EC4C585CED8A}" id="{AD37B9F2-7226-4EEC-B711-20A3BCB1B0DC}">
    <text>adjusted from $6.93 hourly rate to MW compensation for 2019.</text>
  </threadedComment>
  <threadedComment ref="F548" dT="2020-09-01T19:52:41.14" personId="{6BF21425-F8F7-4CB0-9431-EC4C585CED8A}" id="{C6F26DEA-D542-4CDA-995E-81A6162FB6C5}">
    <text>Also $614 "loan to pay" not added</text>
  </threadedComment>
  <threadedComment ref="F555" dT="2020-09-01T20:01:40.71" personId="{6BF21425-F8F7-4CB0-9431-EC4C585CED8A}" id="{F04F767E-0E05-415E-B4A2-D8FBAF6487F7}">
    <text>Includes 16 hours of OT. Also didn't add $96 for reimbursments.</text>
  </threadedComment>
  <threadedComment ref="A557" dT="2020-09-16T23:53:40.35" personId="{6BF21425-F8F7-4CB0-9431-EC4C585CED8A}" id="{16F4469E-F1CC-4AD1-A5C9-C903142DA675}">
    <text>Not on Newway timesheet</text>
  </threadedComment>
  <threadedComment ref="F560" dT="2020-09-01T20:05:00.25" personId="{6BF21425-F8F7-4CB0-9431-EC4C585CED8A}" id="{D60452C0-B45C-4FDC-BFB6-8474E146B33D}">
    <text>Includes 6.5 hours of OT. Did not include $215 of reimbursement.</text>
  </threadedComment>
  <threadedComment ref="F561" dT="2020-10-05T18:45:41.44" personId="{6BF21425-F8F7-4CB0-9431-EC4C585CED8A}" id="{765EBFE5-AB9C-4CCE-9B57-617E99DA30BE}">
    <text>Includes 27 hours of OT according to paystub.</text>
  </threadedComment>
  <threadedComment ref="F571" dT="2020-09-01T17:30:06.56" personId="{6BF21425-F8F7-4CB0-9431-EC4C585CED8A}" id="{23FFA95B-F563-4FCD-A863-DE311217BF14}">
    <text>Includes 4 hours of OT</text>
  </threadedComment>
  <threadedComment ref="A573" dT="2020-09-16T23:56:35.56" personId="{6BF21425-F8F7-4CB0-9431-EC4C585CED8A}" id="{D60AFD24-C74A-4600-B07A-DFE46DE0F117}">
    <text>Not on Newway timesheet</text>
  </threadedComment>
  <threadedComment ref="D573" dT="2020-09-01T17:58:19.83" personId="{6BF21425-F8F7-4CB0-9431-EC4C585CED8A}" id="{AE936BA9-665C-4277-BF31-47C8D1CF80A7}">
    <text>Not listed on Newway timesheet (next week too)</text>
  </threadedComment>
  <threadedComment ref="F577" dT="2020-10-05T18:51:58.73" personId="{6BF21425-F8F7-4CB0-9431-EC4C585CED8A}" id="{D02330BB-30A7-455E-9BD4-D0B0065D8AEF}">
    <text>Includes 7 hours of OT according to paystub,</text>
  </threadedComment>
  <threadedComment ref="A580" dT="2020-09-14T23:03:47.44" personId="{6BF21425-F8F7-4CB0-9431-EC4C585CED8A}" id="{6F03EE04-E27A-44B9-AD8A-C00A9EF3D996}">
    <text>All highlighted rows not on Newway timesheet</text>
  </threadedComment>
  <threadedComment ref="F583" dT="2020-09-02T23:32:27.58" personId="{6BF21425-F8F7-4CB0-9431-EC4C585CED8A}" id="{B789A448-F068-4122-9DBD-6A7A989B1758}">
    <text>Includes 4.5 of OT</text>
  </threadedComment>
  <threadedComment ref="F588" dT="2020-09-02T23:36:57.12" personId="{6BF21425-F8F7-4CB0-9431-EC4C585CED8A}" id="{93D47AF2-E1E1-44C3-9001-631E9E3AEE28}">
    <text>Includes 16.50 of OT</text>
  </threadedComment>
  <threadedComment ref="F619" dT="2020-09-03T21:15:09.97" personId="{6BF21425-F8F7-4CB0-9431-EC4C585CED8A}" id="{08F8AAF1-D98E-4581-A1DF-51A407AF6B64}">
    <text>Minus $1700 remibursement</text>
  </threadedComment>
  <threadedComment ref="A621" dT="2020-09-03T22:06:20.22" personId="{6BF21425-F8F7-4CB0-9431-EC4C585CED8A}" id="{B451371F-0C24-4878-9A56-62253F70DD0E}">
    <text>Not listed on Newway timesheet</text>
  </threadedComment>
  <threadedComment ref="A622" dT="2020-09-03T22:06:33.55" personId="{6BF21425-F8F7-4CB0-9431-EC4C585CED8A}" id="{19F9054C-811D-4C98-8B0E-C2EF9C1D2F93}">
    <text>Not listed on Newway timesheet</text>
  </threadedComment>
  <threadedComment ref="F625" dT="2020-10-05T18:46:49.61" personId="{6BF21425-F8F7-4CB0-9431-EC4C585CED8A}" id="{09D5ACE7-BB01-48A5-A0F9-103FF9BD6757}">
    <text>Includes additional 7 hours of OT according to paystub.</text>
  </threadedComment>
  <threadedComment ref="A628" dT="2020-09-03T18:45:22.91" personId="{6BF21425-F8F7-4CB0-9431-EC4C585CED8A}" id="{527EA41F-A264-4901-996D-650B80C372A0}">
    <text>Next two weeks not on Newway timesheet</text>
  </threadedComment>
  <threadedComment ref="F643" dT="2020-09-03T18:39:51.93" personId="{6BF21425-F8F7-4CB0-9431-EC4C585CED8A}" id="{A2DCCB2E-3F5F-4353-A779-F26101A3F542}">
    <text>Includes 6 hours of OT</text>
  </threadedComment>
  <threadedComment ref="A645" dT="2020-09-03T18:57:23.08" personId="{6BF21425-F8F7-4CB0-9431-EC4C585CED8A}" id="{104D3979-E478-4322-8B82-CE9A32731277}">
    <text>Not on Newway timesheet</text>
  </threadedComment>
  <threadedComment ref="A646" dT="2020-09-03T18:58:04.20" personId="{6BF21425-F8F7-4CB0-9431-EC4C585CED8A}" id="{BCD369D0-7217-4895-81FE-AD74346EEC20}">
    <text>Not on Newway timesheet</text>
  </threadedComment>
  <threadedComment ref="A647" dT="2020-09-03T18:58:40.15" personId="{6BF21425-F8F7-4CB0-9431-EC4C585CED8A}" id="{9780E544-088C-4A98-9D32-7055F5CFDF87}">
    <text>Not on Newway timesheet</text>
  </threadedComment>
  <threadedComment ref="D649" dT="2020-09-03T19:01:38.29" personId="{6BF21425-F8F7-4CB0-9431-EC4C585CED8A}" id="{2DD900B9-27DB-4EF3-8F2F-361882371BB3}">
    <text>25 hours one week, 46 hours next week. So owed 6 hours of OT.</text>
  </threadedComment>
  <threadedComment ref="D651" dT="2020-09-03T19:06:19.23" personId="{6BF21425-F8F7-4CB0-9431-EC4C585CED8A}" id="{94069634-B29B-4902-8AE3-8A386BBB4F4B}">
    <text>37.5 hours one week and 58.5 the next week. So owed 18.5 hours of OT</text>
  </threadedComment>
  <threadedComment ref="F654" dT="2020-09-03T19:43:57.63" personId="{6BF21425-F8F7-4CB0-9431-EC4C585CED8A}" id="{979EF3A0-8256-42C8-9071-DA3D3F8B0717}">
    <text>Includes 5 hours of OT</text>
  </threadedComment>
  <threadedComment ref="A655" dT="2020-09-03T19:52:59.93" personId="{6BF21425-F8F7-4CB0-9431-EC4C585CED8A}" id="{BD4004E8-CB9D-463B-ABEE-EB04AACC4252}">
    <text>Not on Newway timesheet</text>
  </threadedComment>
  <threadedComment ref="A656" dT="2020-09-03T19:53:57.71" personId="{6BF21425-F8F7-4CB0-9431-EC4C585CED8A}" id="{963F2BBB-8300-47E9-BD79-73C90E2C9D0E}">
    <text>Not on Newway timesheet</text>
  </threadedComment>
  <threadedComment ref="A657" dT="2020-09-03T19:54:10.51" personId="{6BF21425-F8F7-4CB0-9431-EC4C585CED8A}" id="{2B18B1EB-E9E3-416A-B28E-EBF6928D6B1A}">
    <text>Not on Newway timesheet</text>
  </threadedComment>
  <threadedComment ref="F659" dT="2020-09-03T19:47:51.39" personId="{6BF21425-F8F7-4CB0-9431-EC4C585CED8A}" id="{FBFC4D71-F54C-4920-8D28-D7C95DED87BD}">
    <text>Includes 16 hours of OT.</text>
  </threadedComment>
  <threadedComment ref="D660" dT="2020-09-03T19:58:03.90" personId="{6BF21425-F8F7-4CB0-9431-EC4C585CED8A}" id="{C1B647BC-4FFF-43AE-B39C-4B0772B6FC52}">
    <text>Owed 12 hours of OT</text>
  </threadedComment>
  <threadedComment ref="F660" dT="2020-10-05T19:39:25.33" personId="{6BF21425-F8F7-4CB0-9431-EC4C585CED8A}" id="{5B4207C5-BECD-458A-A05C-C2EB9BA150EF}">
    <text>Includes 24.5 hours of OT. According to paystub.</text>
  </threadedComment>
  <threadedComment ref="D662" dT="2020-09-03T20:02:33.83" personId="{6BF21425-F8F7-4CB0-9431-EC4C585CED8A}" id="{A51120D2-43D8-4E52-BBC6-2B938FD490FE}">
    <text>No OT owed</text>
  </threadedComment>
  <threadedComment ref="F666" dT="2020-09-03T23:08:20.79" personId="{6BF21425-F8F7-4CB0-9431-EC4C585CED8A}" id="{720EFE5D-288D-46C0-8623-CCD9F8560A8D}">
    <text>Includes 4 hours of OT</text>
  </threadedComment>
  <threadedComment ref="A668" dT="2020-09-03T23:25:52.18" personId="{6BF21425-F8F7-4CB0-9431-EC4C585CED8A}" id="{EE4686B9-74F8-4B22-8B46-83CFD1799249}">
    <text>Not on Newway timesheet</text>
  </threadedComment>
  <threadedComment ref="A669" dT="2020-09-03T23:26:02.84" personId="{6BF21425-F8F7-4CB0-9431-EC4C585CED8A}" id="{22CDE47C-F15B-43F7-8407-B67A72DB80AC}">
    <text>Not on Newway timesheet</text>
  </threadedComment>
  <threadedComment ref="F672" dT="2020-10-05T19:53:39.83" personId="{6BF21425-F8F7-4CB0-9431-EC4C585CED8A}" id="{A08347A3-1C98-46D7-80A8-591630C070C6}">
    <text>Includes 7 hours of OT. According to paystubs.</text>
  </threadedComment>
  <threadedComment ref="A686" dT="2020-09-04T01:20:17.17" personId="{6BF21425-F8F7-4CB0-9431-EC4C585CED8A}" id="{F1BE02F5-A32B-49FD-B910-FC06FA61B317}">
    <text>Not on Newway timesheet next 6 weeks</text>
  </threadedComment>
  <threadedComment ref="F686" dT="2020-09-04T00:51:18.24" personId="{6BF21425-F8F7-4CB0-9431-EC4C585CED8A}" id="{5FF54B56-D7A9-4ADD-94F0-FA68F84F64EC}">
    <text>Includes $150 reimbursement</text>
  </threadedComment>
  <threadedComment ref="F687" dT="2020-09-04T00:52:18.89" personId="{6BF21425-F8F7-4CB0-9431-EC4C585CED8A}" id="{F5B501CD-3EF8-4A70-B545-6EC033043161}">
    <text>Includes $150 reimbursement</text>
  </threadedComment>
  <threadedComment ref="F688" dT="2020-09-04T01:07:40.32" personId="{6BF21425-F8F7-4CB0-9431-EC4C585CED8A}" id="{2825EDD4-F018-446D-BF2F-EC0E24C8DA31}">
    <text>Includes $150 reimbursement</text>
  </threadedComment>
  <threadedComment ref="F691" dT="2020-09-04T01:09:13.65" personId="{6BF21425-F8F7-4CB0-9431-EC4C585CED8A}" id="{AD08F182-D38E-48E2-9C82-E3CB053A86B2}">
    <text>Includes $180 reimbursement</text>
  </threadedComment>
  <threadedComment ref="F692" dT="2020-09-04T01:11:56.33" personId="{6BF21425-F8F7-4CB0-9431-EC4C585CED8A}" id="{E8A7AC02-414B-4730-B895-A058B3A9159E}">
    <text>Includes $1267.50 in OT and $468 in reimbursement</text>
  </threadedComment>
  <threadedComment ref="A698" dT="2020-09-08T17:30:47.81" personId="{6BF21425-F8F7-4CB0-9431-EC4C585CED8A}" id="{10CC0651-B544-4340-8A2D-75B66533985E}">
    <text>Not on Newway timesheet</text>
  </threadedComment>
  <threadedComment ref="A699" dT="2020-09-08T17:35:56.78" personId="{6BF21425-F8F7-4CB0-9431-EC4C585CED8A}" id="{D64EB31B-880B-4F86-A802-9D80FAEC8E2D}">
    <text>Not on Newway timesheet</text>
  </threadedComment>
  <threadedComment ref="A700" dT="2020-09-08T17:36:08.15" personId="{6BF21425-F8F7-4CB0-9431-EC4C585CED8A}" id="{A8978389-6ECD-43EB-817E-6CB014DF0AB6}">
    <text>Not on Newway timesheet</text>
  </threadedComment>
  <threadedComment ref="A705" dT="2020-09-15T00:29:22.70" personId="{6BF21425-F8F7-4CB0-9431-EC4C585CED8A}" id="{B962D58C-18D5-42F8-B762-E11E2BD8DB6D}">
    <text>Not on Newway timesheet</text>
  </threadedComment>
  <threadedComment ref="A729" dT="2020-09-08T17:57:52.59" personId="{6BF21425-F8F7-4CB0-9431-EC4C585CED8A}" id="{1BED0159-E870-45AA-8A4D-71AFCAE40C38}">
    <text>Next 4 weeks not on Newway timesheet</text>
  </threadedComment>
  <threadedComment ref="F730" dT="2020-09-08T17:22:34.21" personId="{6BF21425-F8F7-4CB0-9431-EC4C585CED8A}" id="{D5A93C69-5263-444F-A63A-13A91D739B92}">
    <text>Loan to pay</text>
  </threadedComment>
  <threadedComment ref="F732" dT="2020-09-08T17:23:07.11" personId="{6BF21425-F8F7-4CB0-9431-EC4C585CED8A}" id="{3B4C60EA-3F4A-4CE3-9D24-728FC0684324}">
    <text>Loan deduction</text>
  </threadedComment>
  <threadedComment ref="F735" dT="2020-10-05T19:57:04.51" personId="{6BF21425-F8F7-4CB0-9431-EC4C585CED8A}" id="{96050679-B80E-4E84-B0C1-5AD150C626A7}">
    <text>For 48 hours of work according to paystubs.</text>
  </threadedComment>
  <threadedComment ref="O735" dT="2021-01-27T21:31:35.57" personId="{6BF21425-F8F7-4CB0-9431-EC4C585CED8A}" id="{3E8B3840-0173-40A1-8D21-9AF48805702B}">
    <text>Baja timesheet says 80 hours worked, but on Baja paystub only paid for 48 hours.</text>
  </threadedComment>
  <threadedComment ref="A736" dT="2021-01-27T21:33:25.34" personId="{6BF21425-F8F7-4CB0-9431-EC4C585CED8A}" id="{8EBA0C7D-7938-477A-9226-E4AEB04E7A0D}">
    <text>Listed on Newway timesheet, but no Baja paystub.</text>
  </threadedComment>
  <threadedComment ref="M738" dT="2020-09-17T00:45:15.73" personId="{6BF21425-F8F7-4CB0-9431-EC4C585CED8A}" id="{0B34CBF0-6E2C-4A25-9C44-4585FE400563}">
    <text>Adjusted from $11/hr, to MW compensation of 2019.</text>
  </threadedComment>
  <threadedComment ref="F748" dT="2020-09-08T18:42:22.89" personId="{6BF21425-F8F7-4CB0-9431-EC4C585CED8A}" id="{68EC8EE7-7EBC-46CC-83D1-8ABB1BE82EA8}">
    <text>Includes 4 hours of OT and $15 reimbursement</text>
  </threadedComment>
  <threadedComment ref="A750" dT="2020-09-08T19:15:07.40" personId="{6BF21425-F8F7-4CB0-9431-EC4C585CED8A}" id="{0A77076E-04FA-4C8E-B5D5-E5063FFBB7BB}">
    <text>Next 3 weeks not on Newway timesheet</text>
  </threadedComment>
  <threadedComment ref="F751" dT="2020-09-08T18:43:39.63" personId="{6BF21425-F8F7-4CB0-9431-EC4C585CED8A}" id="{12CE8216-9B96-4A17-8157-3FE0665CA51B}">
    <text>Includes $50 reimbursement</text>
  </threadedComment>
  <threadedComment ref="F753" dT="2020-09-08T18:44:41.03" personId="{6BF21425-F8F7-4CB0-9431-EC4C585CED8A}" id="{A958FC78-0A2B-4F44-AAAF-57C296CBF24A}">
    <text>Includes 7.5 hours of OT</text>
  </threadedComment>
  <threadedComment ref="F754" dT="2020-10-05T19:59:37.24" personId="{6BF21425-F8F7-4CB0-9431-EC4C585CED8A}" id="{4EFB9476-BD81-48AF-93F8-C3F4DF476A2D}">
    <text>Includes 16.5 hours of OT. According to paystub.</text>
  </threadedComment>
  <threadedComment ref="F760" dT="2020-09-08T23:44:39.54" personId="{6BF21425-F8F7-4CB0-9431-EC4C585CED8A}" id="{9F3150CF-22DB-4337-BDA1-C8AB50F92D34}">
    <text>Includes 4 hours of OT</text>
  </threadedComment>
  <threadedComment ref="A762" dT="2020-09-09T00:02:10.27" personId="{6BF21425-F8F7-4CB0-9431-EC4C585CED8A}" id="{57F0E1BA-D1BA-4848-A02B-21F1F6CA1CEE}">
    <text>Not on Newway timesheet</text>
  </threadedComment>
  <threadedComment ref="A763" dT="2020-09-09T00:02:35.29" personId="{6BF21425-F8F7-4CB0-9431-EC4C585CED8A}" id="{CB4BC50B-B650-4136-BD52-8323ED2E5BA0}">
    <text>Not on Newway timesheet</text>
  </threadedComment>
  <threadedComment ref="F766" dT="2020-10-05T20:11:22.54" personId="{6BF21425-F8F7-4CB0-9431-EC4C585CED8A}" id="{909FF861-5A10-49FA-A8BA-1DA121E14E01}">
    <text>includes 8.5 hours of OT. According to paystub.</text>
  </threadedComment>
  <threadedComment ref="F796" dT="2020-09-09T00:50:38.87" personId="{6BF21425-F8F7-4CB0-9431-EC4C585CED8A}" id="{6E274572-D0A5-4749-8F85-3EFBDE63AA24}">
    <text>Includes 6 hours of OT. Includes $1000 reimbursment</text>
  </threadedComment>
  <threadedComment ref="A798" dT="2020-09-09T01:33:51.96" personId="{6BF21425-F8F7-4CB0-9431-EC4C585CED8A}" id="{88C0ED0C-FBA8-4CDA-AF6D-FCC29123E762}">
    <text>Next 3 weeks missing from Newway paystub</text>
  </threadedComment>
  <threadedComment ref="F801" dT="2020-09-09T00:54:48.64" personId="{6BF21425-F8F7-4CB0-9431-EC4C585CED8A}" id="{54DC626E-6848-4110-AB4F-A8602048A563}">
    <text>Includes 7.5 hours of OT.</text>
  </threadedComment>
  <threadedComment ref="A802" dT="2020-09-09T19:31:18.66" personId="{6BF21425-F8F7-4CB0-9431-EC4C585CED8A}" id="{CE62D9C3-1D81-4165-9B28-7BAD1493C2BA}">
    <text>Not on Newway timesheet</text>
  </threadedComment>
  <threadedComment ref="A813" dT="2020-09-09T19:45:17.42" personId="{6BF21425-F8F7-4CB0-9431-EC4C585CED8A}" id="{4D80F255-2FB9-43FA-AB51-28A85C439804}">
    <text>Not on Newway timesheet</text>
  </threadedComment>
  <threadedComment ref="A835" dT="2020-09-09T19:54:09.80" personId="{6BF21425-F8F7-4CB0-9431-EC4C585CED8A}" id="{72E506E7-A115-4F3B-9BF5-C100490A3FE5}">
    <text>This week and next not on Newway timesheet</text>
  </threadedComment>
  <threadedComment ref="C839" dT="2020-10-05T20:14:21.55" personId="{6BF21425-F8F7-4CB0-9431-EC4C585CED8A}" id="{B41D9BB5-CB10-41A4-A75A-46DFC6F05893}">
    <text>Net pay listed as zero.</text>
  </threadedComment>
  <threadedComment ref="F853" dT="2020-09-09T23:07:16.13" personId="{6BF21425-F8F7-4CB0-9431-EC4C585CED8A}" id="{B0C10F77-6134-4769-98A0-433F7DDC8E15}">
    <text>Includes 4 hours of OT</text>
  </threadedComment>
  <threadedComment ref="F859" dT="2020-10-05T20:16:48.26" personId="{6BF21425-F8F7-4CB0-9431-EC4C585CED8A}" id="{961CF0F3-824E-48C5-A182-E4A7B67852B8}">
    <text>Includes 7 hours of OT. According to paystub.</text>
  </threadedComment>
  <threadedComment ref="A862" dT="2020-09-15T22:36:09.44" personId="{6BF21425-F8F7-4CB0-9431-EC4C585CED8A}" id="{D1E07FB8-8ADA-4EF6-9659-46F32309F104}">
    <text>All highlighted rows not on Newway timesheet</text>
  </threadedComment>
  <threadedComment ref="F893" dT="2020-09-09T23:51:25.21" personId="{6BF21425-F8F7-4CB0-9431-EC4C585CED8A}" id="{6BAECE1E-7A48-4A60-9FA3-98E68F62568D}">
    <text>Minus $1500 loan</text>
  </threadedComment>
  <threadedComment ref="F898" dT="2020-09-09T23:53:49.23" personId="{6BF21425-F8F7-4CB0-9431-EC4C585CED8A}" id="{E2BC8ECE-F273-425C-8F5D-1F5BC8C05134}">
    <text>Includes 7 hours of OT</text>
  </threadedComment>
  <threadedComment ref="A900" dT="2020-09-10T00:22:50.65" personId="{6BF21425-F8F7-4CB0-9431-EC4C585CED8A}" id="{A8DF031F-85A5-4537-925F-D88E48FBE66D}">
    <text>Not on Newway timesheet. Also next week</text>
  </threadedComment>
  <threadedComment ref="F903" dT="2020-09-09T23:57:11.44" personId="{6BF21425-F8F7-4CB0-9431-EC4C585CED8A}" id="{FE702DEF-9186-48CF-B9AE-F06462057154}">
    <text>Includes 29.50 of OT and $194.15 of reimbursement</text>
  </threadedComment>
  <threadedComment ref="F904" dT="2020-10-05T20:20:28.20" personId="{6BF21425-F8F7-4CB0-9431-EC4C585CED8A}" id="{001F6106-5A04-4320-A739-26248428702B}">
    <text>Includes 30.5 hours of OT. According to paystubs.</text>
  </threadedComment>
  <threadedComment ref="R907" dT="2021-01-28T19:14:25.59" personId="{6BF21425-F8F7-4CB0-9431-EC4C585CED8A}" id="{28614F09-87E0-49F3-B92C-0F1968660B1A}">
    <text>Based on other WT violations.</text>
  </threadedComment>
  <threadedComment ref="F908" dT="2020-09-10T00:24:29.41" personId="{6BF21425-F8F7-4CB0-9431-EC4C585CED8A}" id="{E8153300-418B-48AC-AB2F-0F4807FE7BE6}">
    <text>Includes 4 hours of OT</text>
  </threadedComment>
  <threadedComment ref="A910" dT="2020-09-10T00:32:05.53" personId="{6BF21425-F8F7-4CB0-9431-EC4C585CED8A}" id="{DF7992D6-C361-44C9-9E6D-10A6960A3226}">
    <text>Not on Newway timesheet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0-11-09T21:01:23.63" personId="{6BF21425-F8F7-4CB0-9431-EC4C585CED8A}" id="{F48E9F66-F7C0-4C6A-AF9B-B25C381447CE}">
    <text>Not on Baja payroll. Only on Newway timesheet.</text>
  </threadedComment>
  <threadedComment ref="A20" dT="2020-09-16T23:25:32.54" personId="{6BF21425-F8F7-4CB0-9431-EC4C585CED8A}" id="{6DC0F4A4-B2F7-4868-8BFA-B20A0C56CD94}">
    <text>Not on Newway timesheet.</text>
  </threadedComment>
  <threadedComment ref="A29" dT="2020-09-10T18:34:43.27" personId="{6BF21425-F8F7-4CB0-9431-EC4C585CED8A}" id="{F3E260E7-BF5F-406A-895C-2C8BE0C99B62}">
    <text>Not on Newway timesheet and no Baja paystub, but listed on Baja payroll. This pay period and next.</text>
  </threadedComment>
  <threadedComment ref="A31" dT="2020-09-10T16:00:25.52" personId="{6BF21425-F8F7-4CB0-9431-EC4C585CED8A}" id="{2C85B56C-FCFA-4030-A6A1-2F9CDE1BCDCA}">
    <text>No paystubs and not listed on Baja payroll only on Newway timesheet.</text>
  </threadedComment>
  <threadedComment ref="M45" dT="2020-09-17T00:20:07.22" personId="{6BF21425-F8F7-4CB0-9431-EC4C585CED8A}" id="{B9057919-5CC4-424F-A955-34FA3C4F50A9}">
    <text>Changed from the $9.88 MW, below the minimum compensation for 2019.</text>
  </threadedComment>
  <threadedComment ref="A48" dT="2020-09-10T18:53:53.93" personId="{6BF21425-F8F7-4CB0-9431-EC4C585CED8A}" id="{70B67C88-A878-48CA-94A3-81685883804C}">
    <text>Not on Newway timesheet. All highlighted rows.</text>
  </threadedComment>
  <threadedComment ref="A56" dT="2020-09-17T16:58:18.83" personId="{6BF21425-F8F7-4CB0-9431-EC4C585CED8A}" id="{7280D841-C661-43D0-BD8E-57EAEB7CCB8C}">
    <text>Not on Newway timesheet. All highlighted rows.</text>
  </threadedComment>
  <threadedComment ref="A77" dT="2020-09-16T18:07:27.72" personId="{6BF21425-F8F7-4CB0-9431-EC4C585CED8A}" id="{9A189D7D-F3BD-4AEA-9DF8-4EC75D7A43C1}">
    <text>Two 1/4 checks. Should we combine them?</text>
  </threadedComment>
  <threadedComment ref="A78" dT="2020-09-16T18:07:48.73" personId="{6BF21425-F8F7-4CB0-9431-EC4C585CED8A}" id="{64A93405-38C0-444E-829B-ACF25B980039}">
    <text>Two 1/18 checks should we combine them?</text>
  </threadedComment>
  <threadedComment ref="A84" dT="2020-09-16T18:19:48.22" personId="{6BF21425-F8F7-4CB0-9431-EC4C585CED8A}" id="{00B04031-4333-4657-8961-C9A33A00804B}">
    <text>Two checks for same pay period on 4/12.</text>
  </threadedComment>
  <threadedComment ref="A101" dT="2020-09-10T19:04:09.50" personId="{6BF21425-F8F7-4CB0-9431-EC4C585CED8A}" id="{3A0794E4-A897-4BC2-BA6E-C071A5CF8D3E}">
    <text>Need to find out how to match up with Newway timesheet</text>
  </threadedComment>
  <threadedComment ref="A110" dT="2020-09-10T19:16:59.14" personId="{6BF21425-F8F7-4CB0-9431-EC4C585CED8A}" id="{125EFFE8-86A5-405C-8A34-80E0585F50EE}">
    <text>Highlighted rows not on Newway timesheet</text>
  </threadedComment>
  <threadedComment ref="M120" dT="2020-09-17T00:23:07.94" personId="{6BF21425-F8F7-4CB0-9431-EC4C585CED8A}" id="{C6477032-7E0C-4C5F-9045-5BC67EDD4DD2}">
    <text>Adjusted from the $11.43 MW, below the minimum compensation for 2019.</text>
  </threadedComment>
  <threadedComment ref="A186" dT="2020-09-16T21:16:16.45" personId="{6BF21425-F8F7-4CB0-9431-EC4C585CED8A}" id="{DAFC207F-2583-4FBB-A613-B6E9437743C3}">
    <text>All highlighted rows not on Newway timesheet.</text>
  </threadedComment>
  <threadedComment ref="A192" dT="2020-09-10T00:39:41.76" personId="{6BF21425-F8F7-4CB0-9431-EC4C585CED8A}" id="{E99F68A0-3EBE-423F-8EE9-3B1DDF254807}">
    <text>Not listed on Newway timesheet</text>
  </threadedComment>
  <threadedComment ref="A202" dT="2020-09-16T21:20:31.90" personId="{6BF21425-F8F7-4CB0-9431-EC4C585CED8A}" id="{46773D4C-6E46-4875-8089-1DE4780F38D3}">
    <text>All highlighted rows not on Newway timesheet.</text>
  </threadedComment>
  <threadedComment ref="F202" dT="2020-09-16T21:18:11.73" personId="{6BF21425-F8F7-4CB0-9431-EC4C585CED8A}" id="{CA8C5B18-779A-44FF-9A7D-E3D8407ABC9F}">
    <text>Includes loan to pay of $1000</text>
  </threadedComment>
  <threadedComment ref="A217" dT="2020-09-10T16:16:03.85" personId="{6BF21425-F8F7-4CB0-9431-EC4C585CED8A}" id="{3E8DB086-35CC-42B1-90C8-445E304C5D20}">
    <text>No paystubs and not listed on Baja payroll only on Newway timesheet.</text>
  </threadedComment>
  <threadedComment ref="A218" dT="2020-09-10T16:15:54.98" personId="{6BF21425-F8F7-4CB0-9431-EC4C585CED8A}" id="{EFEB2E76-B80D-4AB4-9344-973E93E1BC87}">
    <text>No paystubs and not listed on Baja payroll only on Newway timesheet. All highlighted rows.</text>
  </threadedComment>
  <threadedComment ref="A232" dT="2020-09-01T21:41:07.69" personId="{6BF21425-F8F7-4CB0-9431-EC4C585CED8A}" id="{167C1623-43D9-46D2-B90A-7406B7E2CE39}">
    <text>Not on Newway timesheet</text>
  </threadedComment>
  <threadedComment ref="F263" dT="2020-09-01T21:36:07.29" personId="{6BF21425-F8F7-4CB0-9431-EC4C585CED8A}" id="{8E3604E5-8964-4D9E-9F5E-8688B0FF3DD2}">
    <text>Includes 6 hours of OT</text>
  </threadedComment>
  <threadedComment ref="A267" dT="2020-09-16T21:22:51.94" personId="{6BF21425-F8F7-4CB0-9431-EC4C585CED8A}" id="{6085C4F7-9221-4173-AD0B-11CA16747BA0}">
    <text>Not listed on Newway timesheet.</text>
  </threadedComment>
  <threadedComment ref="A290" dT="2020-09-10T20:10:05.44" personId="{6BF21425-F8F7-4CB0-9431-EC4C585CED8A}" id="{C7E788B2-0E7E-4BF1-B70D-B35FE355C537}">
    <text>Not on Newway timesheet. This pay period and next.</text>
  </threadedComment>
  <threadedComment ref="A293" dT="2020-09-16T21:24:00.98" personId="{6BF21425-F8F7-4CB0-9431-EC4C585CED8A}" id="{AA5B4E12-5B41-402A-9E03-7BD92171159A}">
    <text>Not listed on Newway timesheet. Next three pay periods.</text>
  </threadedComment>
  <threadedComment ref="A299" dT="2020-09-16T21:24:58.05" personId="{6BF21425-F8F7-4CB0-9431-EC4C585CED8A}" id="{6B3C660B-3532-4E92-8A5A-6F2322981208}">
    <text>Not listed on Newway timesheet. This ay period and next.</text>
  </threadedComment>
  <threadedComment ref="A313" dT="2020-09-10T16:25:28.44" personId="{6BF21425-F8F7-4CB0-9431-EC4C585CED8A}" id="{B89C945E-3551-46B2-AD64-D3D798010E12}">
    <text>No paystubs and not listed on Baja payroll only on Newway timesheet. All highlighted rows.</text>
  </threadedComment>
  <threadedComment ref="B333" dT="2020-09-17T17:43:59.59" personId="{6BF21425-F8F7-4CB0-9431-EC4C585CED8A}" id="{32DC5869-742B-44E8-A774-13811842639C}">
    <text>We believe this is Camilo Diaz as listed on Newway timesheet.</text>
  </threadedComment>
  <threadedComment ref="A341" dT="2020-09-10T16:27:41.69" personId="{6BF21425-F8F7-4CB0-9431-EC4C585CED8A}" id="{BE2A2E52-8187-4B43-B1A5-4813580537E9}">
    <text>No paystubs and not listed on Baja payroll only on Newway timesheet.</text>
  </threadedComment>
  <threadedComment ref="A348" dT="2020-09-03T22:54:17.14" personId="{6BF21425-F8F7-4CB0-9431-EC4C585CED8A}" id="{668D334D-F162-4806-9083-3A77C71D8817}">
    <text>Not on Newway timesheet</text>
  </threadedComment>
  <threadedComment ref="M355" dT="2020-09-17T00:28:13.21" personId="{6BF21425-F8F7-4CB0-9431-EC4C585CED8A}" id="{D13C0472-BC6A-4F3E-A095-DBF39C829BEF}">
    <text>Hourly rate was $6.03, below the minimum compensation for 2019.</text>
  </threadedComment>
  <threadedComment ref="M356" dT="2020-09-17T00:34:38.10" personId="{6BF21425-F8F7-4CB0-9431-EC4C585CED8A}" id="{24FF58DC-F593-4A9A-9E02-270B9210A9DA}">
    <text>Changed frm $8.18 hourly rate, to minimum compensation for 2019.</text>
  </threadedComment>
  <threadedComment ref="A364" dT="2020-09-16T23:27:06.40" personId="{6BF21425-F8F7-4CB0-9431-EC4C585CED8A}" id="{32152F1C-5F49-48FE-A738-5D76122666D9}">
    <text>Not on Baja payroll and no Baja paystubs. This pay period and next.</text>
  </threadedComment>
  <threadedComment ref="A366" dT="2020-09-03T22:35:18.42" personId="{6BF21425-F8F7-4CB0-9431-EC4C585CED8A}" id="{71E694A5-8DBA-4ACB-A831-EB327BFF753B}">
    <text>Not listed on Newway timesheet</text>
  </threadedComment>
  <threadedComment ref="F371" dT="2020-09-03T22:28:45.59" personId="{6BF21425-F8F7-4CB0-9431-EC4C585CED8A}" id="{02DCB983-A7A3-42F9-94DB-47C9BF6F66D9}">
    <text>Minus $1000 loan.</text>
  </threadedComment>
  <threadedComment ref="A383" dT="2020-09-04T00:05:01.65" personId="{6BF21425-F8F7-4CB0-9431-EC4C585CED8A}" id="{83EB11F0-B2D4-4CBA-A53C-77574138A0E8}">
    <text>Next 4 weeks not listed on Newway timesheet</text>
  </threadedComment>
  <threadedComment ref="A399" dT="2020-09-04T01:37:04.64" personId="{6BF21425-F8F7-4CB0-9431-EC4C585CED8A}" id="{37FE1454-0C41-4C45-8393-6DDB6CC03025}">
    <text>Not listed on Newway timesheet next 5 weeks</text>
  </threadedComment>
  <threadedComment ref="A405" dT="2020-09-10T16:32:42.29" personId="{6BF21425-F8F7-4CB0-9431-EC4C585CED8A}" id="{61EB42E1-A5EB-4E0D-9C9F-EBA98D0F45CB}">
    <text>No paystubs and not listed on Baja payroll only on Newway timesheet.</text>
  </threadedComment>
  <threadedComment ref="F411" dT="2020-09-04T01:24:36.35" personId="{6BF21425-F8F7-4CB0-9431-EC4C585CED8A}" id="{97F744B7-5941-4A1A-86D8-011BE966EF8C}">
    <text>Minus $1000 loan</text>
  </threadedComment>
  <threadedComment ref="A415" dT="2020-09-10T16:31:27.15" personId="{6BF21425-F8F7-4CB0-9431-EC4C585CED8A}" id="{C6B59090-633C-4758-98E3-26F4151CF611}">
    <text>No paystubs and not listed on Baja payroll only on Newway timesheet.</text>
  </threadedComment>
  <threadedComment ref="A416" dT="2020-09-10T16:39:47.45" personId="{6BF21425-F8F7-4CB0-9431-EC4C585CED8A}" id="{BBBEF6F3-733C-460F-9483-5DE596F5D0D1}">
    <text>No paystubs and not listed on Baja payroll only on Newway timesheet. All highlighted rows.</text>
  </threadedComment>
  <threadedComment ref="A452" dT="2020-09-10T17:10:25.71" personId="{6BF21425-F8F7-4CB0-9431-EC4C585CED8A}" id="{72A292B4-1CA0-4065-A605-26B2601693AA}">
    <text>No paystubs and not listed on Baja payroll only on Newway timesheet.</text>
  </threadedComment>
  <threadedComment ref="A463" dT="2020-09-09T22:40:42.45" personId="{6BF21425-F8F7-4CB0-9431-EC4C585CED8A}" id="{5316D00C-DDEC-484B-98CD-EC8305FAFD0A}">
    <text>Not on Newway timesheet</text>
  </threadedComment>
  <threadedComment ref="A465" dT="2020-09-09T22:46:02.88" personId="{6BF21425-F8F7-4CB0-9431-EC4C585CED8A}" id="{173233E2-87B2-4153-A134-2573D7C53C7A}">
    <text>Next 3 weeks not on Newway timesheet</text>
  </threadedComment>
  <threadedComment ref="A472" dT="2020-09-09T22:45:46.58" personId="{6BF21425-F8F7-4CB0-9431-EC4C585CED8A}" id="{AA983BB5-F04F-4D13-8376-11C47182B126}">
    <text>This week and next not on Newway timesheet</text>
  </threadedComment>
  <threadedComment ref="A476" dT="2020-09-10T00:36:46.75" personId="{6BF21425-F8F7-4CB0-9431-EC4C585CED8A}" id="{8293950A-FFA1-4E22-A9A7-4F7304EFA70A}">
    <text>All highlighted rows are not on Newway timesheet for Ruben</text>
  </threadedComment>
  <threadedComment ref="F506" dT="2020-09-01T00:13:40.51" personId="{6BF21425-F8F7-4CB0-9431-EC4C585CED8A}" id="{B3D3EBB2-29C7-4593-A5EF-C1E07E60CE62}">
    <text>Includes 1.5 of OT</text>
  </threadedComment>
  <threadedComment ref="A508" dT="2020-09-01T17:05:10.85" personId="{6BF21425-F8F7-4CB0-9431-EC4C585CED8A}" id="{52DBB879-9CB8-43DB-A092-B10D85B300AC}">
    <text>This and the next date not listed on Newway timesheet</text>
  </threadedComment>
  <threadedComment ref="F511" dT="2020-09-01T00:42:48.01" personId="{6BF21425-F8F7-4CB0-9431-EC4C585CED8A}" id="{B882DC96-61FE-4A80-AD7A-6CCA67228843}">
    <text>Includes 29.50 of OT</text>
  </threadedComment>
  <threadedComment ref="M534" dT="2020-09-17T00:38:03.55" personId="{6BF21425-F8F7-4CB0-9431-EC4C585CED8A}" id="{EB6A3AAF-47F7-4778-9CEF-BE2D902A8028}">
    <text>adjusted from $9.75 hourly rate, to MW compensation for 2019.</text>
  </threadedComment>
  <threadedComment ref="M541" dT="2020-09-17T00:40:08.23" personId="{6BF21425-F8F7-4CB0-9431-EC4C585CED8A}" id="{2C04E359-F666-4116-8138-FC6759A3D6A8}">
    <text>adjusted from $6.93 hourly rate to MW compensation for 2019.</text>
  </threadedComment>
  <threadedComment ref="F544" dT="2020-09-01T19:52:41.14" personId="{6BF21425-F8F7-4CB0-9431-EC4C585CED8A}" id="{52D306BA-E778-4400-9DFC-771478C4453E}">
    <text>Also $614 "loan to pay" not added</text>
  </threadedComment>
  <threadedComment ref="F551" dT="2020-09-01T20:01:40.71" personId="{6BF21425-F8F7-4CB0-9431-EC4C585CED8A}" id="{7E93A3E5-0217-4593-9A34-94B5FE0AF4A2}">
    <text>Includes 16 hours of OT. Also didn't add $96 for reimbursments.</text>
  </threadedComment>
  <threadedComment ref="A553" dT="2020-09-16T23:53:40.35" personId="{6BF21425-F8F7-4CB0-9431-EC4C585CED8A}" id="{0D340AA1-CBC8-407C-8F50-B431665F9A23}">
    <text>Not on Newway timesheet</text>
  </threadedComment>
  <threadedComment ref="F556" dT="2020-09-01T20:05:00.25" personId="{6BF21425-F8F7-4CB0-9431-EC4C585CED8A}" id="{83976ADE-29C2-4397-8E2F-3AD06851D0D8}">
    <text>Includes 6.5 hours of OT. Did not include $215 of reimbursement.</text>
  </threadedComment>
  <threadedComment ref="F567" dT="2020-09-01T17:30:06.56" personId="{6BF21425-F8F7-4CB0-9431-EC4C585CED8A}" id="{7EE2254F-2B7E-473A-871D-393450DB856C}">
    <text>Includes 4 hours of OT</text>
  </threadedComment>
  <threadedComment ref="A569" dT="2020-09-16T23:56:35.56" personId="{6BF21425-F8F7-4CB0-9431-EC4C585CED8A}" id="{CBA7C98B-AFAC-4C05-8C8E-F5967DF06517}">
    <text>Not on Newway timesheet</text>
  </threadedComment>
  <threadedComment ref="D569" dT="2020-09-01T17:58:19.83" personId="{6BF21425-F8F7-4CB0-9431-EC4C585CED8A}" id="{C1E22336-6B39-43EB-A765-DFCD8612773C}">
    <text>Not listed on Newway timesheet (next week too)</text>
  </threadedComment>
  <threadedComment ref="A576" dT="2020-09-14T23:03:47.44" personId="{6BF21425-F8F7-4CB0-9431-EC4C585CED8A}" id="{19B17828-D1FD-4EC7-9F0A-165D7B483CF1}">
    <text>All highlighted rows not on Newway timesheet</text>
  </threadedComment>
  <threadedComment ref="F579" dT="2020-09-02T23:32:27.58" personId="{6BF21425-F8F7-4CB0-9431-EC4C585CED8A}" id="{F304B5E4-394F-4920-99FA-AEA9A298F894}">
    <text>Includes 4.5 of OT</text>
  </threadedComment>
  <threadedComment ref="F584" dT="2020-09-02T23:36:57.12" personId="{6BF21425-F8F7-4CB0-9431-EC4C585CED8A}" id="{F18F7E8E-DE7E-4CB8-981E-78F169FB20B8}">
    <text>Includes 16.50 of OT</text>
  </threadedComment>
  <threadedComment ref="F615" dT="2020-09-03T21:15:09.97" personId="{6BF21425-F8F7-4CB0-9431-EC4C585CED8A}" id="{9E8511C6-7AE3-447B-B21F-AEDC139E307C}">
    <text>Minus $1700 remibursement</text>
  </threadedComment>
  <threadedComment ref="A617" dT="2020-09-03T22:06:20.22" personId="{6BF21425-F8F7-4CB0-9431-EC4C585CED8A}" id="{027DAC67-2A73-4649-893B-49F480660043}">
    <text>Not listed on Newway timesheet</text>
  </threadedComment>
  <threadedComment ref="A618" dT="2020-09-03T22:06:33.55" personId="{6BF21425-F8F7-4CB0-9431-EC4C585CED8A}" id="{1B591B2C-5A7C-4B21-B2BD-FB3AB4807DA1}">
    <text>Not listed on Newway timesheet</text>
  </threadedComment>
  <threadedComment ref="A624" dT="2020-09-03T18:45:22.91" personId="{6BF21425-F8F7-4CB0-9431-EC4C585CED8A}" id="{0E8843FF-C76A-480B-B11F-07DA88A73AB2}">
    <text>Next two weeks not on Newway timesheet</text>
  </threadedComment>
  <threadedComment ref="F639" dT="2020-09-03T18:39:51.93" personId="{6BF21425-F8F7-4CB0-9431-EC4C585CED8A}" id="{387678C8-6C36-41EF-9C11-A167FA1CA157}">
    <text>Includes 6 hours of OT</text>
  </threadedComment>
  <threadedComment ref="A641" dT="2020-09-03T18:57:23.08" personId="{6BF21425-F8F7-4CB0-9431-EC4C585CED8A}" id="{1886C127-1623-4240-94DF-8BC7EC7F0056}">
    <text>Not on Newway timesheet</text>
  </threadedComment>
  <threadedComment ref="A642" dT="2020-09-03T18:58:04.20" personId="{6BF21425-F8F7-4CB0-9431-EC4C585CED8A}" id="{72ED19D0-B8C6-4A9C-91A3-FCE8AFD72657}">
    <text>Not on Newway timesheet</text>
  </threadedComment>
  <threadedComment ref="A643" dT="2020-09-03T18:58:40.15" personId="{6BF21425-F8F7-4CB0-9431-EC4C585CED8A}" id="{53A93193-9170-413A-85C7-4091FFD08318}">
    <text>Not on Newway timesheet</text>
  </threadedComment>
  <threadedComment ref="D645" dT="2020-09-03T19:01:38.29" personId="{6BF21425-F8F7-4CB0-9431-EC4C585CED8A}" id="{4E7B9A18-F487-4668-9BBF-98BA47ADB95C}">
    <text>25 hours one week, 46 hours next week. So owed 6 hours of OT.</text>
  </threadedComment>
  <threadedComment ref="D647" dT="2020-09-03T19:06:19.23" personId="{6BF21425-F8F7-4CB0-9431-EC4C585CED8A}" id="{7BF2B37D-B18F-47DC-B79D-523EC8D259AF}">
    <text>37.5 hours one week and 58.5 the next week. So owed 18.5 hours of OT</text>
  </threadedComment>
  <threadedComment ref="F650" dT="2020-09-03T19:43:57.63" personId="{6BF21425-F8F7-4CB0-9431-EC4C585CED8A}" id="{BB3119DB-6BF9-4EE1-B5ED-C175F28EE8C1}">
    <text>Includes 5 hours of OT</text>
  </threadedComment>
  <threadedComment ref="A651" dT="2020-09-03T19:52:59.93" personId="{6BF21425-F8F7-4CB0-9431-EC4C585CED8A}" id="{FD759DCD-8D0F-4682-9F66-207F7F58B580}">
    <text>Not on Newway timesheet</text>
  </threadedComment>
  <threadedComment ref="A652" dT="2020-09-03T19:53:57.71" personId="{6BF21425-F8F7-4CB0-9431-EC4C585CED8A}" id="{F4EF9179-EFA6-4A7E-AF60-8C2B58DA80EB}">
    <text>Not on Newway timesheet</text>
  </threadedComment>
  <threadedComment ref="A653" dT="2020-09-03T19:54:10.51" personId="{6BF21425-F8F7-4CB0-9431-EC4C585CED8A}" id="{85750655-24ED-4511-BC86-ADE3CAC2403D}">
    <text>Not on Newway timesheet</text>
  </threadedComment>
  <threadedComment ref="F655" dT="2020-09-03T19:47:51.39" personId="{6BF21425-F8F7-4CB0-9431-EC4C585CED8A}" id="{EEFD1BC8-8DCE-4BAB-A529-3990BD8590D9}">
    <text>Includes 16 hours of OT.</text>
  </threadedComment>
  <threadedComment ref="D656" dT="2020-09-03T19:58:03.90" personId="{6BF21425-F8F7-4CB0-9431-EC4C585CED8A}" id="{94BAEB8E-EFF8-4C70-B8A2-BD418082D58A}">
    <text>Owed 12 hours of OT</text>
  </threadedComment>
  <threadedComment ref="D658" dT="2020-09-03T20:02:33.83" personId="{6BF21425-F8F7-4CB0-9431-EC4C585CED8A}" id="{61789783-E475-4F1A-B0C1-B3574E6F81AD}">
    <text>No OT owed</text>
  </threadedComment>
  <threadedComment ref="F662" dT="2020-09-03T23:08:20.79" personId="{6BF21425-F8F7-4CB0-9431-EC4C585CED8A}" id="{D9E2EB7C-83DD-4FB1-A08F-983FC9A99DC3}">
    <text>Includes 4 hours of OT</text>
  </threadedComment>
  <threadedComment ref="A664" dT="2020-09-03T23:25:52.18" personId="{6BF21425-F8F7-4CB0-9431-EC4C585CED8A}" id="{2F7D8E47-CFBD-4468-8E6A-D88BEFBFF8C1}">
    <text>Not on Newway timesheet</text>
  </threadedComment>
  <threadedComment ref="A665" dT="2020-09-03T23:26:02.84" personId="{6BF21425-F8F7-4CB0-9431-EC4C585CED8A}" id="{B2B48409-7D5C-4E24-83EC-424D9DCBBFA3}">
    <text>Not on Newway timesheet</text>
  </threadedComment>
  <threadedComment ref="A682" dT="2020-09-04T01:20:17.17" personId="{6BF21425-F8F7-4CB0-9431-EC4C585CED8A}" id="{755ED544-E464-4C87-B986-7EEF89691F80}">
    <text>Not on Newway timesheet next 6 weeks</text>
  </threadedComment>
  <threadedComment ref="F682" dT="2020-09-04T00:51:18.24" personId="{6BF21425-F8F7-4CB0-9431-EC4C585CED8A}" id="{88877298-E06B-46A0-ADEA-CE93244C95AB}">
    <text>Includes $150 reimbursement</text>
  </threadedComment>
  <threadedComment ref="F683" dT="2020-09-04T00:52:18.89" personId="{6BF21425-F8F7-4CB0-9431-EC4C585CED8A}" id="{7BF37AE1-A489-468A-885F-5F2F00BDF477}">
    <text>Includes $150 reimbursement</text>
  </threadedComment>
  <threadedComment ref="F684" dT="2020-09-04T01:07:40.32" personId="{6BF21425-F8F7-4CB0-9431-EC4C585CED8A}" id="{09DB813B-45DC-4FE6-9BBA-D03E2CB720FF}">
    <text>Includes $150 reimbursement</text>
  </threadedComment>
  <threadedComment ref="F687" dT="2020-09-04T01:09:13.65" personId="{6BF21425-F8F7-4CB0-9431-EC4C585CED8A}" id="{B8B9FB91-6215-4B92-8FD4-640745FAC686}">
    <text>Includes $180 reimbursement</text>
  </threadedComment>
  <threadedComment ref="F688" dT="2020-09-04T01:11:56.33" personId="{6BF21425-F8F7-4CB0-9431-EC4C585CED8A}" id="{2388795F-E1E9-4B4F-8296-DC755415AF09}">
    <text>Includes $1267.50 in OT and $468 in reimbursement</text>
  </threadedComment>
  <threadedComment ref="A694" dT="2020-09-08T17:30:47.81" personId="{6BF21425-F8F7-4CB0-9431-EC4C585CED8A}" id="{84936505-C3CC-45A1-A13F-E04AB86F415D}">
    <text>Not on Newway timesheet</text>
  </threadedComment>
  <threadedComment ref="A695" dT="2020-09-08T17:35:56.78" personId="{6BF21425-F8F7-4CB0-9431-EC4C585CED8A}" id="{F9D7AC5C-5D4C-4058-92C0-BD1D8D2FFAA8}">
    <text>Not on Newway timesheet</text>
  </threadedComment>
  <threadedComment ref="A696" dT="2020-09-08T17:36:08.15" personId="{6BF21425-F8F7-4CB0-9431-EC4C585CED8A}" id="{891AC789-E5A0-4589-95FC-E6CCF07952C1}">
    <text>Not on Newway timesheet</text>
  </threadedComment>
  <threadedComment ref="A701" dT="2020-09-15T00:29:22.70" personId="{6BF21425-F8F7-4CB0-9431-EC4C585CED8A}" id="{3F4956EC-B8C6-4F1A-AE07-CBB0EC3BA94A}">
    <text>Not on Newway timesheet</text>
  </threadedComment>
  <threadedComment ref="A725" dT="2020-09-08T17:57:52.59" personId="{6BF21425-F8F7-4CB0-9431-EC4C585CED8A}" id="{0810D596-47C2-4DCD-9591-22B7AFE28B97}">
    <text>Next 4 weeks not on Newway timesheet</text>
  </threadedComment>
  <threadedComment ref="F726" dT="2020-09-08T17:22:34.21" personId="{6BF21425-F8F7-4CB0-9431-EC4C585CED8A}" id="{2F4B7336-067A-41F6-80B1-5B29616FF7CE}">
    <text>Loan to pay</text>
  </threadedComment>
  <threadedComment ref="F728" dT="2020-09-08T17:23:07.11" personId="{6BF21425-F8F7-4CB0-9431-EC4C585CED8A}" id="{A95200BC-C36E-4E2E-B1D7-12007C8F9564}">
    <text>Loan deduction</text>
  </threadedComment>
  <threadedComment ref="M734" dT="2020-09-17T00:45:15.73" personId="{6BF21425-F8F7-4CB0-9431-EC4C585CED8A}" id="{A26615A2-AE89-45DA-B961-2D56EF73A4D7}">
    <text>Adjusted from $11/hr, to MW compensation of 2019.</text>
  </threadedComment>
  <threadedComment ref="F744" dT="2020-09-08T18:42:22.89" personId="{6BF21425-F8F7-4CB0-9431-EC4C585CED8A}" id="{A7D18EBB-92F5-4E96-918C-EB004833F9CA}">
    <text>Includes 4 hours of OT and $15 reimbursement</text>
  </threadedComment>
  <threadedComment ref="A746" dT="2020-09-08T19:15:07.40" personId="{6BF21425-F8F7-4CB0-9431-EC4C585CED8A}" id="{427EC4D4-9B21-49D8-B833-557E989CA088}">
    <text>Next 3 weeks not on Newway timesheet</text>
  </threadedComment>
  <threadedComment ref="F747" dT="2020-09-08T18:43:39.63" personId="{6BF21425-F8F7-4CB0-9431-EC4C585CED8A}" id="{A49E26A1-D43A-4039-BDFB-A909C49D364D}">
    <text>Includes $50 reimbursement</text>
  </threadedComment>
  <threadedComment ref="F749" dT="2020-09-08T18:44:41.03" personId="{6BF21425-F8F7-4CB0-9431-EC4C585CED8A}" id="{95536D60-056A-414F-B330-8500550130C7}">
    <text>Includes 7.5 hours of OT</text>
  </threadedComment>
  <threadedComment ref="F756" dT="2020-09-08T23:44:39.54" personId="{6BF21425-F8F7-4CB0-9431-EC4C585CED8A}" id="{5B8D9E85-1CF1-4718-ADBE-AB64AD2E3CB3}">
    <text>Includes 4 hours of OT</text>
  </threadedComment>
  <threadedComment ref="A758" dT="2020-09-09T00:02:10.27" personId="{6BF21425-F8F7-4CB0-9431-EC4C585CED8A}" id="{E3EA73A9-7AAA-447A-93C6-6E4B0EE19E7A}">
    <text>Not on Newway timesheet</text>
  </threadedComment>
  <threadedComment ref="A759" dT="2020-09-09T00:02:35.29" personId="{6BF21425-F8F7-4CB0-9431-EC4C585CED8A}" id="{2DF66999-9E68-4B33-A32C-03C031C46D47}">
    <text>Not on Newway timesheet</text>
  </threadedComment>
  <threadedComment ref="N791" dT="2020-09-17T17:56:43.09" personId="{6BF21425-F8F7-4CB0-9431-EC4C585CED8A}" id="{55D56B22-40F5-442C-8471-497EF5113E80}">
    <text>Check paystubs. $3608.32 was bonus but not ending on the sam pay week end.</text>
  </threadedComment>
  <threadedComment ref="F792" dT="2020-09-09T00:50:38.87" personId="{6BF21425-F8F7-4CB0-9431-EC4C585CED8A}" id="{4951A667-22B2-4A22-BCE9-B8746195A0A5}">
    <text>Includes 6 hours of OT. Includes $1000 reimbursment</text>
  </threadedComment>
  <threadedComment ref="A794" dT="2020-09-09T01:33:51.96" personId="{6BF21425-F8F7-4CB0-9431-EC4C585CED8A}" id="{29395429-F8BB-4324-86CE-7F44FAF299AF}">
    <text>Next 3 weeks missing from Newway paystub</text>
  </threadedComment>
  <threadedComment ref="F797" dT="2020-09-09T00:54:48.64" personId="{6BF21425-F8F7-4CB0-9431-EC4C585CED8A}" id="{FB2B82D6-1475-4179-9DE5-3CCB8F0CC644}">
    <text>Includes 7.5 hours of OT.</text>
  </threadedComment>
  <threadedComment ref="A798" dT="2020-09-09T19:31:18.66" personId="{6BF21425-F8F7-4CB0-9431-EC4C585CED8A}" id="{CA1FB850-7C79-40AE-8963-60A3DEA3FFEC}">
    <text>Not on Newway timesheet</text>
  </threadedComment>
  <threadedComment ref="A809" dT="2020-09-09T19:45:17.42" personId="{6BF21425-F8F7-4CB0-9431-EC4C585CED8A}" id="{FEA36BA9-07A0-4F64-AD8D-E8D7797E54A0}">
    <text>Not on Newway timesheet</text>
  </threadedComment>
  <threadedComment ref="A831" dT="2020-09-09T19:54:09.80" personId="{6BF21425-F8F7-4CB0-9431-EC4C585CED8A}" id="{E1188C4F-B9B8-43E0-8731-148F3D3ED279}">
    <text>This week and next not on Newway timesheet</text>
  </threadedComment>
  <threadedComment ref="F849" dT="2020-09-09T23:07:16.13" personId="{6BF21425-F8F7-4CB0-9431-EC4C585CED8A}" id="{90178667-581C-4B55-BDE6-E0265EFD66C2}">
    <text>Includes 4 hours of OT</text>
  </threadedComment>
  <threadedComment ref="A858" dT="2020-09-15T22:36:09.44" personId="{6BF21425-F8F7-4CB0-9431-EC4C585CED8A}" id="{FBB1786A-E191-4B0C-81FC-ECBE1D6F07C7}">
    <text>All highlighted rows not on Newway timesheet</text>
  </threadedComment>
  <threadedComment ref="F889" dT="2020-09-09T23:51:25.21" personId="{6BF21425-F8F7-4CB0-9431-EC4C585CED8A}" id="{72540E54-CB50-4842-8382-D50553258936}">
    <text>Includes $1500 loan</text>
  </threadedComment>
  <threadedComment ref="F894" dT="2020-09-09T23:53:49.23" personId="{6BF21425-F8F7-4CB0-9431-EC4C585CED8A}" id="{5A9237E6-ECD8-4BF2-9F76-2500585A0EB1}">
    <text>Includes 7 hours of OT</text>
  </threadedComment>
  <threadedComment ref="A896" dT="2020-09-10T00:22:50.65" personId="{6BF21425-F8F7-4CB0-9431-EC4C585CED8A}" id="{C18DAFC2-04DD-4FB3-9381-8778237E4182}">
    <text>Not on Newway timesheet. Also next week</text>
  </threadedComment>
  <threadedComment ref="F899" dT="2020-09-09T23:57:11.44" personId="{6BF21425-F8F7-4CB0-9431-EC4C585CED8A}" id="{9E4C7478-F533-4EA1-8051-84CB0B1466A7}">
    <text>Includes 29.50 of OT and $194.15 of reimbursement</text>
  </threadedComment>
  <threadedComment ref="F904" dT="2020-09-10T00:24:29.41" personId="{6BF21425-F8F7-4CB0-9431-EC4C585CED8A}" id="{79A05FC6-CD61-4983-8977-B24BEAB63333}">
    <text>Includes 4 hours of OT</text>
  </threadedComment>
  <threadedComment ref="A906" dT="2020-09-10T00:32:05.53" personId="{6BF21425-F8F7-4CB0-9431-EC4C585CED8A}" id="{94EF9D10-1B7C-4A3D-AA76-A3C649EF2848}">
    <text>Not on Newway timesheet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B86E-BD59-42CB-B1A0-C5C8BD061979}">
  <sheetPr>
    <pageSetUpPr fitToPage="1"/>
  </sheetPr>
  <dimension ref="A1:J1239"/>
  <sheetViews>
    <sheetView topLeftCell="A528" workbookViewId="0">
      <selection activeCell="A528" sqref="A1:XFD1048576"/>
    </sheetView>
  </sheetViews>
  <sheetFormatPr defaultRowHeight="14.4" x14ac:dyDescent="0.3"/>
  <cols>
    <col min="1" max="1" width="13.88671875" style="7" customWidth="1"/>
    <col min="2" max="2" width="34.88671875" customWidth="1"/>
    <col min="3" max="3" width="18" style="7" customWidth="1"/>
    <col min="4" max="4" width="11.88671875" style="7" customWidth="1"/>
    <col min="5" max="5" width="18" style="7" customWidth="1"/>
    <col min="6" max="6" width="17.109375" style="7" customWidth="1"/>
    <col min="7" max="7" width="16.33203125" style="7" customWidth="1"/>
    <col min="8" max="8" width="16.5546875" style="7" customWidth="1"/>
    <col min="9" max="9" width="14.33203125" style="7" customWidth="1"/>
    <col min="10" max="10" width="11.6640625" style="7" customWidth="1"/>
    <col min="11" max="11" width="12" customWidth="1"/>
  </cols>
  <sheetData>
    <row r="1" spans="1:10" ht="22.8" x14ac:dyDescent="0.4">
      <c r="A1" s="90" t="s">
        <v>0</v>
      </c>
      <c r="B1" s="90"/>
      <c r="C1" s="90"/>
      <c r="D1" s="90"/>
      <c r="E1" s="90"/>
      <c r="F1" s="90"/>
      <c r="G1" s="90"/>
      <c r="H1" s="90"/>
      <c r="I1" s="90"/>
      <c r="J1" s="90"/>
    </row>
    <row r="2" spans="1:10" ht="15.6" x14ac:dyDescent="0.3">
      <c r="A2" s="91" t="s">
        <v>1</v>
      </c>
      <c r="B2" s="91"/>
    </row>
    <row r="4" spans="1:10" x14ac:dyDescent="0.3">
      <c r="A4" s="92" t="s">
        <v>2</v>
      </c>
      <c r="B4" s="92"/>
      <c r="C4" s="92"/>
    </row>
    <row r="6" spans="1:10" x14ac:dyDescent="0.3">
      <c r="A6" s="11" t="s">
        <v>3</v>
      </c>
      <c r="B6" s="12" t="s">
        <v>4</v>
      </c>
      <c r="C6" s="11" t="s">
        <v>5</v>
      </c>
      <c r="D6" s="11" t="s">
        <v>6</v>
      </c>
      <c r="E6" s="11" t="s">
        <v>7</v>
      </c>
      <c r="F6" s="11" t="s">
        <v>8</v>
      </c>
      <c r="G6" s="11" t="s">
        <v>9</v>
      </c>
      <c r="H6" s="11" t="s">
        <v>10</v>
      </c>
      <c r="I6" s="11" t="s">
        <v>11</v>
      </c>
      <c r="J6" s="11" t="s">
        <v>12</v>
      </c>
    </row>
    <row r="7" spans="1:10" x14ac:dyDescent="0.3">
      <c r="A7" s="10">
        <v>43427</v>
      </c>
      <c r="B7" t="s">
        <v>13</v>
      </c>
      <c r="C7" s="8">
        <v>2052</v>
      </c>
      <c r="D7" s="7">
        <v>80</v>
      </c>
      <c r="E7" s="8">
        <v>216</v>
      </c>
      <c r="F7" s="8">
        <v>0</v>
      </c>
      <c r="G7" s="8">
        <v>2268</v>
      </c>
      <c r="H7" s="8">
        <v>388.71</v>
      </c>
      <c r="I7" s="8">
        <v>2656.71</v>
      </c>
      <c r="J7" s="7" t="s">
        <v>14</v>
      </c>
    </row>
    <row r="8" spans="1:10" x14ac:dyDescent="0.3">
      <c r="A8" s="10">
        <v>43441</v>
      </c>
      <c r="B8" t="s">
        <v>13</v>
      </c>
      <c r="C8" s="8">
        <v>856</v>
      </c>
      <c r="D8" s="7">
        <v>72</v>
      </c>
      <c r="E8" s="8">
        <v>173.33</v>
      </c>
      <c r="F8" s="8">
        <v>440</v>
      </c>
      <c r="G8" s="8">
        <v>1469.33</v>
      </c>
      <c r="H8" s="8">
        <v>292.27</v>
      </c>
      <c r="I8" s="8">
        <v>1761.6</v>
      </c>
      <c r="J8" s="7" t="s">
        <v>14</v>
      </c>
    </row>
    <row r="9" spans="1:10" x14ac:dyDescent="0.3">
      <c r="A9" s="10">
        <v>43455</v>
      </c>
      <c r="B9" t="s">
        <v>13</v>
      </c>
      <c r="C9" s="8">
        <v>1463</v>
      </c>
      <c r="D9" s="7">
        <v>80</v>
      </c>
      <c r="E9" s="8">
        <v>214.31</v>
      </c>
      <c r="F9" s="8">
        <v>0</v>
      </c>
      <c r="G9" s="8">
        <v>1677.31</v>
      </c>
      <c r="H9" s="8">
        <v>329.29</v>
      </c>
      <c r="I9" s="8">
        <v>2006.6</v>
      </c>
      <c r="J9" s="7" t="s">
        <v>14</v>
      </c>
    </row>
    <row r="10" spans="1:10" x14ac:dyDescent="0.3">
      <c r="A10" s="10">
        <v>43469</v>
      </c>
      <c r="B10" t="s">
        <v>13</v>
      </c>
      <c r="C10" s="8">
        <v>0</v>
      </c>
      <c r="D10" s="7">
        <v>0</v>
      </c>
      <c r="E10" s="8">
        <v>-0.01</v>
      </c>
      <c r="F10" s="8">
        <v>0.01</v>
      </c>
      <c r="G10" s="8">
        <v>0</v>
      </c>
      <c r="H10" s="8">
        <v>0</v>
      </c>
      <c r="I10" s="8">
        <v>0</v>
      </c>
    </row>
    <row r="11" spans="1:10" x14ac:dyDescent="0.3">
      <c r="A11" s="10">
        <v>43469</v>
      </c>
      <c r="B11" t="s">
        <v>13</v>
      </c>
      <c r="C11" s="8">
        <v>1108</v>
      </c>
      <c r="D11" s="7">
        <v>80</v>
      </c>
      <c r="E11" s="8">
        <v>235.67</v>
      </c>
      <c r="F11" s="8">
        <v>440</v>
      </c>
      <c r="G11" s="8">
        <v>1783.67</v>
      </c>
      <c r="H11" s="8">
        <v>339.98</v>
      </c>
      <c r="I11" s="8">
        <v>2123.65</v>
      </c>
      <c r="J11" s="7" t="s">
        <v>14</v>
      </c>
    </row>
    <row r="12" spans="1:10" x14ac:dyDescent="0.3">
      <c r="A12" s="10">
        <v>43469</v>
      </c>
      <c r="B12" t="s">
        <v>13</v>
      </c>
      <c r="C12" s="8">
        <v>0</v>
      </c>
      <c r="D12" s="7">
        <v>0</v>
      </c>
      <c r="E12" s="8">
        <v>0</v>
      </c>
      <c r="F12" s="8">
        <v>0</v>
      </c>
      <c r="G12" s="8">
        <v>0</v>
      </c>
      <c r="H12" s="8">
        <v>0</v>
      </c>
      <c r="I12" s="8">
        <v>0</v>
      </c>
    </row>
    <row r="13" spans="1:10" x14ac:dyDescent="0.3">
      <c r="A13" s="10">
        <v>43483</v>
      </c>
      <c r="B13" t="s">
        <v>13</v>
      </c>
      <c r="C13" s="8">
        <v>1872</v>
      </c>
      <c r="D13" s="7">
        <v>80</v>
      </c>
      <c r="E13" s="8">
        <v>208</v>
      </c>
      <c r="F13" s="8">
        <v>0</v>
      </c>
      <c r="G13" s="8">
        <v>2080</v>
      </c>
      <c r="H13" s="8">
        <v>369.79</v>
      </c>
      <c r="I13" s="8">
        <v>2449.79</v>
      </c>
      <c r="J13" s="7" t="s">
        <v>14</v>
      </c>
    </row>
    <row r="14" spans="1:10" x14ac:dyDescent="0.3">
      <c r="A14" s="10">
        <v>43483</v>
      </c>
      <c r="B14" t="s">
        <v>13</v>
      </c>
      <c r="C14" s="8">
        <v>0</v>
      </c>
      <c r="D14" s="7">
        <v>0</v>
      </c>
      <c r="E14" s="8">
        <v>-0.01</v>
      </c>
      <c r="F14" s="8">
        <v>0.01</v>
      </c>
      <c r="G14" s="8">
        <v>0</v>
      </c>
      <c r="H14" s="8">
        <v>0</v>
      </c>
      <c r="I14" s="8">
        <v>0</v>
      </c>
    </row>
    <row r="15" spans="1:10" x14ac:dyDescent="0.3">
      <c r="A15" s="10">
        <v>43483</v>
      </c>
      <c r="B15" t="s">
        <v>13</v>
      </c>
      <c r="C15" s="8">
        <v>0</v>
      </c>
      <c r="D15" s="7">
        <v>0</v>
      </c>
      <c r="E15" s="8">
        <v>0</v>
      </c>
      <c r="F15" s="8">
        <v>0</v>
      </c>
      <c r="G15" s="8">
        <v>0</v>
      </c>
      <c r="H15" s="8">
        <v>0</v>
      </c>
      <c r="I15" s="8">
        <v>0</v>
      </c>
    </row>
    <row r="16" spans="1:10" x14ac:dyDescent="0.3">
      <c r="A16" s="10">
        <v>43497</v>
      </c>
      <c r="B16" t="s">
        <v>13</v>
      </c>
      <c r="C16" s="8">
        <v>0</v>
      </c>
      <c r="D16" s="7">
        <v>0</v>
      </c>
      <c r="E16" s="8">
        <v>-0.01</v>
      </c>
      <c r="F16" s="8">
        <v>0.01</v>
      </c>
      <c r="G16" s="8">
        <v>0</v>
      </c>
      <c r="H16" s="8">
        <v>0</v>
      </c>
      <c r="I16" s="8">
        <v>0</v>
      </c>
    </row>
    <row r="17" spans="1:10" x14ac:dyDescent="0.3">
      <c r="A17" s="10">
        <v>43497</v>
      </c>
      <c r="B17" t="s">
        <v>13</v>
      </c>
      <c r="C17" s="8">
        <v>1640</v>
      </c>
      <c r="D17" s="7">
        <v>80</v>
      </c>
      <c r="E17" s="8">
        <v>362.29</v>
      </c>
      <c r="F17" s="8">
        <v>440</v>
      </c>
      <c r="G17" s="8">
        <v>2442.29</v>
      </c>
      <c r="H17" s="8">
        <v>406.25</v>
      </c>
      <c r="I17" s="8">
        <v>2848.54</v>
      </c>
      <c r="J17" s="7" t="s">
        <v>14</v>
      </c>
    </row>
    <row r="18" spans="1:10" x14ac:dyDescent="0.3">
      <c r="A18" s="10">
        <v>43511</v>
      </c>
      <c r="B18" t="s">
        <v>13</v>
      </c>
      <c r="C18" s="8">
        <v>1665</v>
      </c>
      <c r="D18" s="7">
        <v>80</v>
      </c>
      <c r="E18" s="8">
        <v>208.31</v>
      </c>
      <c r="F18" s="8">
        <v>225</v>
      </c>
      <c r="G18" s="8">
        <v>2098.31</v>
      </c>
      <c r="H18" s="8">
        <v>363.19</v>
      </c>
      <c r="I18" s="8">
        <v>2461.5</v>
      </c>
      <c r="J18" s="7" t="s">
        <v>14</v>
      </c>
    </row>
    <row r="19" spans="1:10" x14ac:dyDescent="0.3">
      <c r="A19" s="10">
        <v>43523</v>
      </c>
      <c r="B19" t="s">
        <v>13</v>
      </c>
      <c r="C19" s="8">
        <v>1814</v>
      </c>
      <c r="D19" s="7">
        <v>0</v>
      </c>
      <c r="E19" s="8">
        <v>243.14</v>
      </c>
      <c r="F19" s="8">
        <v>0</v>
      </c>
      <c r="G19" s="8">
        <v>2057.14</v>
      </c>
      <c r="H19" s="8">
        <v>194.61</v>
      </c>
      <c r="I19" s="8">
        <v>2251.75</v>
      </c>
      <c r="J19" s="7" t="s">
        <v>14</v>
      </c>
    </row>
    <row r="20" spans="1:10" x14ac:dyDescent="0.3">
      <c r="A20" s="10">
        <v>43523</v>
      </c>
      <c r="B20" t="s">
        <v>13</v>
      </c>
      <c r="C20" s="8">
        <v>0</v>
      </c>
      <c r="D20" s="7">
        <v>0</v>
      </c>
      <c r="E20" s="8">
        <v>-0.01</v>
      </c>
      <c r="F20" s="8">
        <v>0.01</v>
      </c>
      <c r="G20" s="8">
        <v>0</v>
      </c>
      <c r="H20" s="8">
        <v>0</v>
      </c>
      <c r="I20" s="8">
        <v>0</v>
      </c>
    </row>
    <row r="21" spans="1:10" x14ac:dyDescent="0.3">
      <c r="A21" s="10">
        <v>43539</v>
      </c>
      <c r="B21" t="s">
        <v>13</v>
      </c>
      <c r="C21" s="8">
        <v>1890</v>
      </c>
      <c r="D21" s="7">
        <v>80</v>
      </c>
      <c r="E21" s="8">
        <v>315.05</v>
      </c>
      <c r="F21" s="8">
        <v>0</v>
      </c>
      <c r="G21" s="8">
        <v>2205.0500000000002</v>
      </c>
      <c r="H21" s="8">
        <v>369.13</v>
      </c>
      <c r="I21" s="8">
        <v>2574.1799999999998</v>
      </c>
      <c r="J21" s="7" t="s">
        <v>14</v>
      </c>
    </row>
    <row r="22" spans="1:10" x14ac:dyDescent="0.3">
      <c r="A22" s="10">
        <v>43553</v>
      </c>
      <c r="B22" t="s">
        <v>13</v>
      </c>
      <c r="C22" s="8">
        <v>0</v>
      </c>
      <c r="D22" s="7">
        <v>0</v>
      </c>
      <c r="E22" s="8">
        <v>-0.01</v>
      </c>
      <c r="F22" s="8">
        <v>0.01</v>
      </c>
      <c r="G22" s="8">
        <v>0</v>
      </c>
      <c r="H22" s="8">
        <v>0</v>
      </c>
      <c r="I22" s="8">
        <v>0</v>
      </c>
    </row>
    <row r="23" spans="1:10" x14ac:dyDescent="0.3">
      <c r="A23" s="10">
        <v>43553</v>
      </c>
      <c r="B23" t="s">
        <v>13</v>
      </c>
      <c r="C23" s="8">
        <v>1748</v>
      </c>
      <c r="D23" s="7">
        <v>75</v>
      </c>
      <c r="E23" s="8">
        <v>202</v>
      </c>
      <c r="F23" s="8">
        <v>0</v>
      </c>
      <c r="G23" s="8">
        <v>1950</v>
      </c>
      <c r="H23" s="8">
        <v>334.97</v>
      </c>
      <c r="I23" s="8">
        <v>2284.9699999999998</v>
      </c>
      <c r="J23" s="7" t="s">
        <v>14</v>
      </c>
    </row>
    <row r="24" spans="1:10" x14ac:dyDescent="0.3">
      <c r="A24" s="10">
        <v>43553</v>
      </c>
      <c r="B24" t="s">
        <v>13</v>
      </c>
      <c r="C24" s="8">
        <v>0</v>
      </c>
      <c r="D24" s="7">
        <v>0</v>
      </c>
      <c r="E24" s="8">
        <v>0</v>
      </c>
      <c r="F24" s="8">
        <v>0</v>
      </c>
      <c r="G24" s="8">
        <v>0</v>
      </c>
      <c r="H24" s="8">
        <v>-24.84</v>
      </c>
      <c r="I24" s="8">
        <v>-24.84</v>
      </c>
    </row>
    <row r="25" spans="1:10" x14ac:dyDescent="0.3">
      <c r="A25" s="10">
        <v>43567</v>
      </c>
      <c r="B25" t="s">
        <v>13</v>
      </c>
      <c r="C25" s="8">
        <v>0</v>
      </c>
      <c r="D25" s="7">
        <v>0</v>
      </c>
      <c r="E25" s="8">
        <v>-0.01</v>
      </c>
      <c r="F25" s="8">
        <v>0.01</v>
      </c>
      <c r="G25" s="8">
        <v>0</v>
      </c>
      <c r="H25" s="8">
        <v>0</v>
      </c>
      <c r="I25" s="8">
        <v>0</v>
      </c>
    </row>
    <row r="26" spans="1:10" x14ac:dyDescent="0.3">
      <c r="A26" s="10">
        <v>43567</v>
      </c>
      <c r="B26" t="s">
        <v>13</v>
      </c>
      <c r="C26" s="8">
        <v>1748</v>
      </c>
      <c r="D26" s="7">
        <v>80</v>
      </c>
      <c r="E26" s="8">
        <v>332</v>
      </c>
      <c r="F26" s="8">
        <v>0</v>
      </c>
      <c r="G26" s="8">
        <v>2080</v>
      </c>
      <c r="H26" s="8">
        <v>357.31</v>
      </c>
      <c r="I26" s="8">
        <v>2437.31</v>
      </c>
      <c r="J26" s="7" t="s">
        <v>14</v>
      </c>
    </row>
    <row r="27" spans="1:10" x14ac:dyDescent="0.3">
      <c r="A27" s="10">
        <v>43567</v>
      </c>
      <c r="B27" t="s">
        <v>13</v>
      </c>
      <c r="C27" s="8">
        <v>0</v>
      </c>
      <c r="D27" s="7">
        <v>0</v>
      </c>
      <c r="E27" s="8">
        <v>0</v>
      </c>
      <c r="F27" s="8">
        <v>0</v>
      </c>
      <c r="G27" s="8">
        <v>0</v>
      </c>
      <c r="H27" s="8">
        <v>-3.53</v>
      </c>
      <c r="I27" s="8">
        <v>-3.53</v>
      </c>
    </row>
    <row r="28" spans="1:10" x14ac:dyDescent="0.3">
      <c r="A28" s="10">
        <v>43581</v>
      </c>
      <c r="B28" t="s">
        <v>13</v>
      </c>
      <c r="C28" s="8">
        <v>1672</v>
      </c>
      <c r="D28" s="7">
        <v>80</v>
      </c>
      <c r="E28" s="8">
        <v>408</v>
      </c>
      <c r="F28" s="8">
        <v>0</v>
      </c>
      <c r="G28" s="8">
        <v>2080</v>
      </c>
      <c r="H28" s="8">
        <v>353.77</v>
      </c>
      <c r="I28" s="8">
        <v>2433.77</v>
      </c>
      <c r="J28" s="7" t="s">
        <v>14</v>
      </c>
    </row>
    <row r="29" spans="1:10" x14ac:dyDescent="0.3">
      <c r="A29" s="10">
        <v>43595</v>
      </c>
      <c r="B29" t="s">
        <v>13</v>
      </c>
      <c r="C29" s="8">
        <v>1263</v>
      </c>
      <c r="D29" s="7">
        <v>80</v>
      </c>
      <c r="E29" s="8">
        <v>817</v>
      </c>
      <c r="F29" s="8">
        <v>0</v>
      </c>
      <c r="G29" s="8">
        <v>2080</v>
      </c>
      <c r="H29" s="8">
        <v>353.78</v>
      </c>
      <c r="I29" s="8">
        <v>2433.7800000000002</v>
      </c>
      <c r="J29" s="7" t="s">
        <v>14</v>
      </c>
    </row>
    <row r="30" spans="1:10" x14ac:dyDescent="0.3">
      <c r="A30" s="21" t="s">
        <v>15</v>
      </c>
      <c r="B30" s="22" t="s">
        <v>16</v>
      </c>
      <c r="C30" s="23">
        <f>SUM(C7:C29)</f>
        <v>20791</v>
      </c>
      <c r="D30" s="23">
        <f t="shared" ref="D30:I30" si="0">SUM(D7:D29)</f>
        <v>947</v>
      </c>
      <c r="E30" s="23">
        <f t="shared" si="0"/>
        <v>3935.0399999999995</v>
      </c>
      <c r="F30" s="23">
        <f t="shared" si="0"/>
        <v>1545.06</v>
      </c>
      <c r="G30" s="23">
        <f t="shared" si="0"/>
        <v>26271.1</v>
      </c>
      <c r="H30" s="23">
        <f t="shared" si="0"/>
        <v>4424.68</v>
      </c>
      <c r="I30" s="23">
        <f t="shared" si="0"/>
        <v>30695.780000000002</v>
      </c>
      <c r="J30" s="24"/>
    </row>
    <row r="31" spans="1:10" x14ac:dyDescent="0.3">
      <c r="A31" s="10">
        <v>43133</v>
      </c>
      <c r="B31" t="s">
        <v>17</v>
      </c>
      <c r="C31" s="8">
        <v>1008.2</v>
      </c>
      <c r="D31" s="7">
        <v>80</v>
      </c>
      <c r="E31" s="8">
        <v>191.8</v>
      </c>
      <c r="F31" s="8">
        <v>0</v>
      </c>
      <c r="G31" s="8">
        <v>1200</v>
      </c>
      <c r="H31" s="8">
        <v>281.26</v>
      </c>
      <c r="I31" s="8">
        <v>1481.26</v>
      </c>
    </row>
    <row r="32" spans="1:10" x14ac:dyDescent="0.3">
      <c r="A32" s="10">
        <v>43147</v>
      </c>
      <c r="B32" t="s">
        <v>17</v>
      </c>
      <c r="C32" s="8">
        <v>1008.2</v>
      </c>
      <c r="D32" s="7">
        <v>80</v>
      </c>
      <c r="E32" s="8">
        <v>191.8</v>
      </c>
      <c r="F32" s="8">
        <v>0</v>
      </c>
      <c r="G32" s="8">
        <v>1200</v>
      </c>
      <c r="H32" s="8">
        <v>281.26</v>
      </c>
      <c r="I32" s="8">
        <v>1481.26</v>
      </c>
    </row>
    <row r="33" spans="1:10" x14ac:dyDescent="0.3">
      <c r="A33" s="21" t="s">
        <v>15</v>
      </c>
      <c r="B33" s="22" t="str">
        <f>+B32</f>
        <v>*Alexis Hernandez</v>
      </c>
      <c r="C33" s="23">
        <f>SUM(C31:C32)</f>
        <v>2016.4</v>
      </c>
      <c r="D33" s="23">
        <f t="shared" ref="D33:I33" si="1">SUM(D31:D32)</f>
        <v>160</v>
      </c>
      <c r="E33" s="23">
        <f t="shared" si="1"/>
        <v>383.6</v>
      </c>
      <c r="F33" s="23">
        <f t="shared" si="1"/>
        <v>0</v>
      </c>
      <c r="G33" s="23">
        <f t="shared" si="1"/>
        <v>2400</v>
      </c>
      <c r="H33" s="23">
        <f t="shared" si="1"/>
        <v>562.52</v>
      </c>
      <c r="I33" s="23">
        <f t="shared" si="1"/>
        <v>2962.52</v>
      </c>
      <c r="J33" s="24"/>
    </row>
    <row r="34" spans="1:10" x14ac:dyDescent="0.3">
      <c r="A34" s="10">
        <v>43511</v>
      </c>
      <c r="B34" t="s">
        <v>18</v>
      </c>
      <c r="C34" s="8">
        <v>1591</v>
      </c>
      <c r="D34" s="7">
        <v>80</v>
      </c>
      <c r="E34" s="8">
        <v>199.83</v>
      </c>
      <c r="F34" s="8">
        <v>200</v>
      </c>
      <c r="G34" s="8">
        <v>1990.83</v>
      </c>
      <c r="H34" s="8">
        <v>360.82</v>
      </c>
      <c r="I34" s="8">
        <v>2351.65</v>
      </c>
      <c r="J34" s="7">
        <v>100152</v>
      </c>
    </row>
    <row r="35" spans="1:10" x14ac:dyDescent="0.3">
      <c r="A35" s="10">
        <v>43525</v>
      </c>
      <c r="B35" t="s">
        <v>18</v>
      </c>
      <c r="C35" s="8">
        <v>1171</v>
      </c>
      <c r="D35" s="7">
        <v>80</v>
      </c>
      <c r="E35" s="8">
        <v>184.39</v>
      </c>
      <c r="F35" s="8">
        <v>440</v>
      </c>
      <c r="G35" s="8">
        <v>1795.39</v>
      </c>
      <c r="H35" s="8">
        <v>341.16</v>
      </c>
      <c r="I35" s="8">
        <v>2136.5500000000002</v>
      </c>
      <c r="J35" s="7">
        <v>100162</v>
      </c>
    </row>
    <row r="36" spans="1:10" x14ac:dyDescent="0.3">
      <c r="A36" s="10">
        <v>43525</v>
      </c>
      <c r="B36" t="s">
        <v>18</v>
      </c>
      <c r="C36" s="8">
        <v>0</v>
      </c>
      <c r="D36" s="7">
        <v>0</v>
      </c>
      <c r="E36" s="8">
        <v>-0.01</v>
      </c>
      <c r="F36" s="8">
        <v>0.01</v>
      </c>
      <c r="G36" s="8">
        <v>0</v>
      </c>
      <c r="H36" s="8">
        <v>0</v>
      </c>
      <c r="I36" s="8">
        <v>0</v>
      </c>
    </row>
    <row r="37" spans="1:10" x14ac:dyDescent="0.3">
      <c r="A37" s="10">
        <v>43539</v>
      </c>
      <c r="B37" t="s">
        <v>18</v>
      </c>
      <c r="C37" s="8">
        <v>785</v>
      </c>
      <c r="D37" s="7">
        <v>80</v>
      </c>
      <c r="E37" s="8">
        <v>320.07</v>
      </c>
      <c r="F37" s="8">
        <v>610</v>
      </c>
      <c r="G37" s="8">
        <v>1715.07</v>
      </c>
      <c r="H37" s="8">
        <v>333.07</v>
      </c>
      <c r="I37" s="8">
        <v>2048.14</v>
      </c>
      <c r="J37" s="7" t="s">
        <v>14</v>
      </c>
    </row>
    <row r="38" spans="1:10" x14ac:dyDescent="0.3">
      <c r="A38" s="10">
        <v>43553</v>
      </c>
      <c r="B38" t="s">
        <v>18</v>
      </c>
      <c r="C38" s="8">
        <v>1090</v>
      </c>
      <c r="D38" s="7">
        <v>80</v>
      </c>
      <c r="E38" s="8">
        <v>353.63</v>
      </c>
      <c r="F38" s="8">
        <v>440</v>
      </c>
      <c r="G38" s="8">
        <v>1883.63</v>
      </c>
      <c r="H38" s="8">
        <v>347.73</v>
      </c>
      <c r="I38" s="8">
        <v>2231.36</v>
      </c>
      <c r="J38" s="7" t="s">
        <v>14</v>
      </c>
    </row>
    <row r="39" spans="1:10" x14ac:dyDescent="0.3">
      <c r="A39" s="10">
        <v>43553</v>
      </c>
      <c r="B39" t="s">
        <v>18</v>
      </c>
      <c r="C39" s="8">
        <v>0</v>
      </c>
      <c r="D39" s="7">
        <v>0</v>
      </c>
      <c r="E39" s="8">
        <v>0</v>
      </c>
      <c r="F39" s="8">
        <v>0</v>
      </c>
      <c r="G39" s="8">
        <v>0</v>
      </c>
      <c r="H39" s="8">
        <v>-12.55</v>
      </c>
      <c r="I39" s="8">
        <v>-12.55</v>
      </c>
    </row>
    <row r="40" spans="1:10" x14ac:dyDescent="0.3">
      <c r="A40" s="10">
        <v>43567</v>
      </c>
      <c r="B40" t="s">
        <v>18</v>
      </c>
      <c r="C40" s="8">
        <v>0</v>
      </c>
      <c r="D40" s="7">
        <v>0</v>
      </c>
      <c r="E40" s="8">
        <v>0</v>
      </c>
      <c r="F40" s="8">
        <v>0</v>
      </c>
      <c r="G40" s="8">
        <v>0</v>
      </c>
      <c r="H40" s="8">
        <v>-3.31</v>
      </c>
      <c r="I40" s="8">
        <v>-3.31</v>
      </c>
    </row>
    <row r="41" spans="1:10" x14ac:dyDescent="0.3">
      <c r="A41" s="10">
        <v>43567</v>
      </c>
      <c r="B41" t="s">
        <v>18</v>
      </c>
      <c r="C41" s="8">
        <v>1084</v>
      </c>
      <c r="D41" s="7">
        <v>80</v>
      </c>
      <c r="E41" s="8">
        <v>367.04</v>
      </c>
      <c r="F41" s="8">
        <v>500</v>
      </c>
      <c r="G41" s="8">
        <v>1951.04</v>
      </c>
      <c r="H41" s="8">
        <v>345.1</v>
      </c>
      <c r="I41" s="8">
        <v>2296.14</v>
      </c>
      <c r="J41" s="7" t="s">
        <v>14</v>
      </c>
    </row>
    <row r="42" spans="1:10" x14ac:dyDescent="0.3">
      <c r="A42" s="10">
        <v>43581</v>
      </c>
      <c r="B42" t="s">
        <v>18</v>
      </c>
      <c r="C42" s="8">
        <v>1638</v>
      </c>
      <c r="D42" s="7">
        <v>80</v>
      </c>
      <c r="E42" s="8">
        <v>384.87</v>
      </c>
      <c r="F42" s="8">
        <v>0</v>
      </c>
      <c r="G42" s="8">
        <v>2022.87</v>
      </c>
      <c r="H42" s="8">
        <v>348.46</v>
      </c>
      <c r="I42" s="8">
        <v>2371.33</v>
      </c>
      <c r="J42" s="7" t="s">
        <v>14</v>
      </c>
    </row>
    <row r="43" spans="1:10" x14ac:dyDescent="0.3">
      <c r="A43" s="10">
        <v>43595</v>
      </c>
      <c r="B43" t="s">
        <v>18</v>
      </c>
      <c r="C43" s="8">
        <v>1692</v>
      </c>
      <c r="D43" s="7">
        <v>80</v>
      </c>
      <c r="E43" s="8">
        <v>407.9</v>
      </c>
      <c r="F43" s="8">
        <v>0</v>
      </c>
      <c r="G43" s="8">
        <v>2099.9</v>
      </c>
      <c r="H43" s="8">
        <v>355.62</v>
      </c>
      <c r="I43" s="8">
        <v>2455.52</v>
      </c>
      <c r="J43" s="7" t="s">
        <v>14</v>
      </c>
    </row>
    <row r="44" spans="1:10" x14ac:dyDescent="0.3">
      <c r="A44" s="10">
        <v>43609</v>
      </c>
      <c r="B44" t="s">
        <v>18</v>
      </c>
      <c r="C44" s="8">
        <v>1243</v>
      </c>
      <c r="D44" s="7">
        <v>80</v>
      </c>
      <c r="E44" s="8">
        <v>404.07</v>
      </c>
      <c r="F44" s="8">
        <v>440</v>
      </c>
      <c r="G44" s="8">
        <v>2087.0700000000002</v>
      </c>
      <c r="H44" s="8">
        <v>354.43</v>
      </c>
      <c r="I44" s="8">
        <v>2441.5</v>
      </c>
      <c r="J44" s="7" t="s">
        <v>14</v>
      </c>
    </row>
    <row r="45" spans="1:10" x14ac:dyDescent="0.3">
      <c r="A45" s="10">
        <v>43623</v>
      </c>
      <c r="B45" t="s">
        <v>18</v>
      </c>
      <c r="C45" s="8">
        <v>1512</v>
      </c>
      <c r="D45" s="7">
        <v>80</v>
      </c>
      <c r="E45" s="8">
        <v>349.15</v>
      </c>
      <c r="F45" s="8">
        <v>0</v>
      </c>
      <c r="G45" s="8">
        <v>1861.15</v>
      </c>
      <c r="H45" s="8">
        <v>333.44</v>
      </c>
      <c r="I45" s="8">
        <v>2194.59</v>
      </c>
      <c r="J45" s="7" t="s">
        <v>14</v>
      </c>
    </row>
    <row r="46" spans="1:10" x14ac:dyDescent="0.3">
      <c r="A46" s="10">
        <v>43637</v>
      </c>
      <c r="B46" t="s">
        <v>18</v>
      </c>
      <c r="C46" s="8">
        <v>1549</v>
      </c>
      <c r="D46" s="7">
        <v>80</v>
      </c>
      <c r="E46" s="8">
        <v>272.8</v>
      </c>
      <c r="F46" s="8">
        <v>440</v>
      </c>
      <c r="G46" s="8">
        <v>2261.8000000000002</v>
      </c>
      <c r="H46" s="8">
        <v>370.66</v>
      </c>
      <c r="I46" s="8">
        <v>2632.46</v>
      </c>
      <c r="J46" s="7" t="s">
        <v>14</v>
      </c>
    </row>
    <row r="47" spans="1:10" x14ac:dyDescent="0.3">
      <c r="A47" s="10">
        <v>43644</v>
      </c>
      <c r="B47" t="s">
        <v>18</v>
      </c>
      <c r="C47" s="8">
        <v>440</v>
      </c>
      <c r="D47" s="7">
        <v>0</v>
      </c>
      <c r="E47" s="8">
        <v>0</v>
      </c>
      <c r="F47" s="8">
        <v>0</v>
      </c>
      <c r="G47" s="8">
        <v>440</v>
      </c>
      <c r="H47" s="8">
        <v>0</v>
      </c>
      <c r="I47" s="8">
        <v>440</v>
      </c>
      <c r="J47" s="7">
        <v>100179</v>
      </c>
    </row>
    <row r="48" spans="1:10" x14ac:dyDescent="0.3">
      <c r="A48" s="10">
        <v>43651</v>
      </c>
      <c r="B48" t="s">
        <v>18</v>
      </c>
      <c r="C48" s="8">
        <v>1530</v>
      </c>
      <c r="D48" s="7">
        <v>80</v>
      </c>
      <c r="E48" s="8">
        <v>177.42</v>
      </c>
      <c r="F48" s="8">
        <v>0</v>
      </c>
      <c r="G48" s="8">
        <v>1707.42</v>
      </c>
      <c r="H48" s="8">
        <v>319.14999999999998</v>
      </c>
      <c r="I48" s="8">
        <v>2026.57</v>
      </c>
      <c r="J48" s="7" t="s">
        <v>14</v>
      </c>
    </row>
    <row r="49" spans="1:10" x14ac:dyDescent="0.3">
      <c r="A49" s="10">
        <v>43665</v>
      </c>
      <c r="B49" t="s">
        <v>18</v>
      </c>
      <c r="C49" s="8">
        <v>1458</v>
      </c>
      <c r="D49" s="7">
        <v>80</v>
      </c>
      <c r="E49" s="8">
        <v>171.26</v>
      </c>
      <c r="F49" s="8">
        <v>0</v>
      </c>
      <c r="G49" s="8">
        <v>1629.26</v>
      </c>
      <c r="H49" s="8">
        <v>311.91000000000003</v>
      </c>
      <c r="I49" s="8">
        <v>1941.17</v>
      </c>
      <c r="J49" s="7" t="s">
        <v>14</v>
      </c>
    </row>
    <row r="50" spans="1:10" x14ac:dyDescent="0.3">
      <c r="A50" s="10">
        <v>43679</v>
      </c>
      <c r="B50" t="s">
        <v>18</v>
      </c>
      <c r="C50" s="8">
        <v>1485</v>
      </c>
      <c r="D50" s="7">
        <v>80</v>
      </c>
      <c r="E50" s="8">
        <v>173.57</v>
      </c>
      <c r="F50" s="8">
        <v>-0.01</v>
      </c>
      <c r="G50" s="8">
        <v>1658.56</v>
      </c>
      <c r="H50" s="8">
        <v>314.62</v>
      </c>
      <c r="I50" s="8">
        <v>1973.18</v>
      </c>
      <c r="J50" s="7" t="s">
        <v>14</v>
      </c>
    </row>
    <row r="51" spans="1:10" x14ac:dyDescent="0.3">
      <c r="A51" s="10">
        <v>43693</v>
      </c>
      <c r="B51" t="s">
        <v>18</v>
      </c>
      <c r="C51" s="8">
        <v>927</v>
      </c>
      <c r="D51" s="7">
        <v>80</v>
      </c>
      <c r="E51" s="8">
        <v>125.67</v>
      </c>
      <c r="F51" s="8">
        <v>0</v>
      </c>
      <c r="G51" s="8">
        <v>1052.67</v>
      </c>
      <c r="H51" s="8">
        <v>258.33</v>
      </c>
      <c r="I51" s="8">
        <v>1311</v>
      </c>
      <c r="J51" s="7" t="s">
        <v>14</v>
      </c>
    </row>
    <row r="52" spans="1:10" x14ac:dyDescent="0.3">
      <c r="A52" s="10">
        <v>43707</v>
      </c>
      <c r="B52" t="s">
        <v>18</v>
      </c>
      <c r="C52" s="8">
        <v>1872</v>
      </c>
      <c r="D52" s="7">
        <v>80</v>
      </c>
      <c r="E52" s="8">
        <v>247.29</v>
      </c>
      <c r="F52" s="8">
        <v>0</v>
      </c>
      <c r="G52" s="8">
        <v>2119.29</v>
      </c>
      <c r="H52" s="8">
        <v>357.42</v>
      </c>
      <c r="I52" s="8">
        <v>2476.71</v>
      </c>
      <c r="J52" s="7" t="s">
        <v>14</v>
      </c>
    </row>
    <row r="53" spans="1:10" x14ac:dyDescent="0.3">
      <c r="A53" s="10">
        <v>43721</v>
      </c>
      <c r="B53" t="s">
        <v>18</v>
      </c>
      <c r="C53" s="8">
        <v>900</v>
      </c>
      <c r="D53" s="7">
        <v>50</v>
      </c>
      <c r="E53" s="8">
        <v>106.08</v>
      </c>
      <c r="F53" s="8">
        <v>0</v>
      </c>
      <c r="G53" s="8">
        <v>1006.08</v>
      </c>
      <c r="H53" s="8">
        <v>193.81</v>
      </c>
      <c r="I53" s="8">
        <v>1199.8900000000001</v>
      </c>
      <c r="J53" s="7" t="s">
        <v>14</v>
      </c>
    </row>
    <row r="54" spans="1:10" x14ac:dyDescent="0.3">
      <c r="A54" s="21" t="s">
        <v>15</v>
      </c>
      <c r="B54" s="22" t="str">
        <f>+B53</f>
        <v>*ANGEL M. GOMEZ CHAVEZ</v>
      </c>
      <c r="C54" s="23">
        <f t="shared" ref="C54:I54" si="2">SUM(C34:C53)</f>
        <v>21967</v>
      </c>
      <c r="D54" s="23">
        <f t="shared" si="2"/>
        <v>1250</v>
      </c>
      <c r="E54" s="23">
        <f t="shared" si="2"/>
        <v>4245.0300000000007</v>
      </c>
      <c r="F54" s="23">
        <f t="shared" si="2"/>
        <v>3070</v>
      </c>
      <c r="G54" s="23">
        <f t="shared" si="2"/>
        <v>29282.03</v>
      </c>
      <c r="H54" s="23">
        <f t="shared" si="2"/>
        <v>5229.87</v>
      </c>
      <c r="I54" s="23">
        <f t="shared" si="2"/>
        <v>34511.9</v>
      </c>
      <c r="J54" s="24"/>
    </row>
    <row r="55" spans="1:10" x14ac:dyDescent="0.3">
      <c r="A55" s="10">
        <v>43861</v>
      </c>
      <c r="B55" t="s">
        <v>19</v>
      </c>
      <c r="C55" s="8">
        <v>2217</v>
      </c>
      <c r="D55" s="7">
        <v>80</v>
      </c>
      <c r="E55" s="8">
        <v>438.59</v>
      </c>
      <c r="F55" s="8">
        <v>0</v>
      </c>
      <c r="G55" s="8">
        <v>2655.59</v>
      </c>
      <c r="H55" s="8">
        <v>379.8</v>
      </c>
      <c r="I55" s="8">
        <v>3035.39</v>
      </c>
      <c r="J55" s="7" t="s">
        <v>14</v>
      </c>
    </row>
    <row r="56" spans="1:10" x14ac:dyDescent="0.3">
      <c r="A56" s="10">
        <v>43861</v>
      </c>
      <c r="B56" t="s">
        <v>19</v>
      </c>
      <c r="C56" s="8">
        <v>0</v>
      </c>
      <c r="D56" s="7">
        <v>0</v>
      </c>
      <c r="E56" s="8">
        <v>0</v>
      </c>
      <c r="F56" s="8">
        <v>0</v>
      </c>
      <c r="G56" s="8">
        <v>0</v>
      </c>
      <c r="H56" s="8">
        <v>-56.94</v>
      </c>
      <c r="I56" s="8">
        <v>-56.94</v>
      </c>
    </row>
    <row r="57" spans="1:10" x14ac:dyDescent="0.3">
      <c r="A57" s="10">
        <v>43875</v>
      </c>
      <c r="B57" t="s">
        <v>19</v>
      </c>
      <c r="C57" s="8">
        <v>1696</v>
      </c>
      <c r="D57" s="7">
        <v>80</v>
      </c>
      <c r="E57" s="8">
        <v>316.35000000000002</v>
      </c>
      <c r="F57" s="8">
        <v>50</v>
      </c>
      <c r="G57" s="8">
        <v>2062.35</v>
      </c>
      <c r="H57" s="8">
        <v>285.10000000000002</v>
      </c>
      <c r="I57" s="8">
        <v>2347.4499999999998</v>
      </c>
      <c r="J57" s="7" t="s">
        <v>14</v>
      </c>
    </row>
    <row r="58" spans="1:10" x14ac:dyDescent="0.3">
      <c r="A58" s="10">
        <v>43889</v>
      </c>
      <c r="B58" t="s">
        <v>19</v>
      </c>
      <c r="C58" s="8">
        <v>1795</v>
      </c>
      <c r="D58" s="7">
        <v>80</v>
      </c>
      <c r="E58" s="8">
        <v>336.06</v>
      </c>
      <c r="F58" s="8">
        <v>50</v>
      </c>
      <c r="G58" s="8">
        <v>2181.06</v>
      </c>
      <c r="H58" s="8">
        <v>294.89999999999998</v>
      </c>
      <c r="I58" s="8">
        <v>2475.96</v>
      </c>
      <c r="J58" s="7" t="s">
        <v>14</v>
      </c>
    </row>
    <row r="59" spans="1:10" x14ac:dyDescent="0.3">
      <c r="A59" s="10">
        <v>43903</v>
      </c>
      <c r="B59" t="s">
        <v>19</v>
      </c>
      <c r="C59" s="8">
        <v>1417</v>
      </c>
      <c r="D59" s="7">
        <v>80</v>
      </c>
      <c r="E59" s="8">
        <v>260.81</v>
      </c>
      <c r="F59" s="8">
        <v>50</v>
      </c>
      <c r="G59" s="8">
        <v>1727.81</v>
      </c>
      <c r="H59" s="8">
        <v>255.85</v>
      </c>
      <c r="I59" s="8">
        <v>1983.66</v>
      </c>
      <c r="J59" s="7" t="s">
        <v>14</v>
      </c>
    </row>
    <row r="60" spans="1:10" x14ac:dyDescent="0.3">
      <c r="A60" s="10">
        <v>43917</v>
      </c>
      <c r="B60" t="s">
        <v>19</v>
      </c>
      <c r="C60" s="8">
        <v>1420.3</v>
      </c>
      <c r="D60" s="7">
        <v>79</v>
      </c>
      <c r="E60" s="8">
        <v>322.2</v>
      </c>
      <c r="F60" s="8">
        <v>35</v>
      </c>
      <c r="G60" s="8">
        <v>1777.5</v>
      </c>
      <c r="H60" s="8">
        <v>276.14</v>
      </c>
      <c r="I60" s="8">
        <v>2053.64</v>
      </c>
      <c r="J60" s="7" t="s">
        <v>14</v>
      </c>
    </row>
    <row r="61" spans="1:10" x14ac:dyDescent="0.3">
      <c r="A61" s="10">
        <v>43917</v>
      </c>
      <c r="B61" t="s">
        <v>19</v>
      </c>
      <c r="C61" s="8">
        <v>0</v>
      </c>
      <c r="D61" s="7">
        <v>0</v>
      </c>
      <c r="E61" s="8">
        <v>0</v>
      </c>
      <c r="F61" s="8">
        <v>0</v>
      </c>
      <c r="G61" s="8">
        <v>0</v>
      </c>
      <c r="H61" s="8">
        <v>-137.6</v>
      </c>
      <c r="I61" s="8">
        <v>-137.6</v>
      </c>
    </row>
    <row r="62" spans="1:10" x14ac:dyDescent="0.3">
      <c r="A62" s="10">
        <v>43917</v>
      </c>
      <c r="B62" t="s">
        <v>19</v>
      </c>
      <c r="C62" s="8">
        <v>0</v>
      </c>
      <c r="D62" s="7">
        <v>0</v>
      </c>
      <c r="E62" s="8">
        <v>0</v>
      </c>
      <c r="F62" s="8">
        <v>0</v>
      </c>
      <c r="G62" s="8">
        <v>0</v>
      </c>
      <c r="H62" s="8">
        <v>0.91</v>
      </c>
      <c r="I62" s="8">
        <v>0.91</v>
      </c>
    </row>
    <row r="63" spans="1:10" x14ac:dyDescent="0.3">
      <c r="A63" s="10">
        <v>43917</v>
      </c>
      <c r="B63" t="s">
        <v>19</v>
      </c>
      <c r="C63" s="8">
        <v>0</v>
      </c>
      <c r="D63" s="7">
        <v>0</v>
      </c>
      <c r="E63" s="8">
        <v>0</v>
      </c>
      <c r="F63" s="8">
        <v>0</v>
      </c>
      <c r="G63" s="8">
        <v>0</v>
      </c>
      <c r="H63" s="8">
        <v>167.94</v>
      </c>
      <c r="I63" s="8">
        <v>167.94</v>
      </c>
    </row>
    <row r="64" spans="1:10" x14ac:dyDescent="0.3">
      <c r="A64" s="10">
        <v>43931</v>
      </c>
      <c r="B64" t="s">
        <v>19</v>
      </c>
      <c r="C64" s="8">
        <v>812.03</v>
      </c>
      <c r="D64" s="7">
        <v>40</v>
      </c>
      <c r="E64" s="8">
        <v>87.97</v>
      </c>
      <c r="F64" s="8">
        <v>0</v>
      </c>
      <c r="G64" s="8">
        <v>900</v>
      </c>
      <c r="H64" s="8">
        <v>139.82</v>
      </c>
      <c r="I64" s="8">
        <v>1039.82</v>
      </c>
      <c r="J64" s="7" t="s">
        <v>14</v>
      </c>
    </row>
    <row r="65" spans="1:10" x14ac:dyDescent="0.3">
      <c r="A65" s="10">
        <v>43931</v>
      </c>
      <c r="B65" t="s">
        <v>19</v>
      </c>
      <c r="C65" s="8">
        <v>0</v>
      </c>
      <c r="D65" s="7">
        <v>0</v>
      </c>
      <c r="E65" s="8">
        <v>0</v>
      </c>
      <c r="F65" s="8">
        <v>0</v>
      </c>
      <c r="G65" s="8">
        <v>0</v>
      </c>
      <c r="H65" s="8">
        <v>-13.68</v>
      </c>
      <c r="I65" s="8">
        <v>-13.68</v>
      </c>
    </row>
    <row r="66" spans="1:10" x14ac:dyDescent="0.3">
      <c r="A66" s="10">
        <v>43931</v>
      </c>
      <c r="B66" t="s">
        <v>19</v>
      </c>
      <c r="C66" s="8">
        <v>0</v>
      </c>
      <c r="D66" s="7">
        <v>0</v>
      </c>
      <c r="E66" s="8">
        <v>0</v>
      </c>
      <c r="F66" s="8">
        <v>0</v>
      </c>
      <c r="G66" s="8">
        <v>0</v>
      </c>
      <c r="H66" s="8">
        <v>0.09</v>
      </c>
      <c r="I66" s="8">
        <v>0.09</v>
      </c>
    </row>
    <row r="67" spans="1:10" x14ac:dyDescent="0.3">
      <c r="A67" s="10">
        <v>43931</v>
      </c>
      <c r="B67" t="s">
        <v>19</v>
      </c>
      <c r="C67" s="8">
        <v>0</v>
      </c>
      <c r="D67" s="7">
        <v>0</v>
      </c>
      <c r="E67" s="8">
        <v>0</v>
      </c>
      <c r="F67" s="8">
        <v>0</v>
      </c>
      <c r="G67" s="8">
        <v>0</v>
      </c>
      <c r="H67" s="8">
        <v>16.84</v>
      </c>
      <c r="I67" s="8">
        <v>16.84</v>
      </c>
    </row>
    <row r="68" spans="1:10" x14ac:dyDescent="0.3">
      <c r="A68" s="10">
        <v>43945</v>
      </c>
      <c r="B68" t="s">
        <v>19</v>
      </c>
      <c r="C68" s="8">
        <v>500.02</v>
      </c>
      <c r="D68" s="7">
        <v>24.63</v>
      </c>
      <c r="E68" s="8">
        <v>54.16</v>
      </c>
      <c r="F68" s="8">
        <v>0</v>
      </c>
      <c r="G68" s="8">
        <v>554.17999999999995</v>
      </c>
      <c r="H68" s="8">
        <v>88.09</v>
      </c>
      <c r="I68" s="8">
        <v>642.27</v>
      </c>
      <c r="J68" s="7" t="s">
        <v>14</v>
      </c>
    </row>
    <row r="69" spans="1:10" x14ac:dyDescent="0.3">
      <c r="A69" s="10">
        <v>43959</v>
      </c>
      <c r="B69" t="s">
        <v>19</v>
      </c>
      <c r="C69" s="8">
        <v>700.39</v>
      </c>
      <c r="D69" s="7">
        <v>34.5</v>
      </c>
      <c r="E69" s="8">
        <v>75.86</v>
      </c>
      <c r="F69" s="8">
        <v>0</v>
      </c>
      <c r="G69" s="8">
        <v>776.25</v>
      </c>
      <c r="H69" s="8">
        <v>123.39</v>
      </c>
      <c r="I69" s="8">
        <v>899.64</v>
      </c>
      <c r="J69" s="7" t="s">
        <v>14</v>
      </c>
    </row>
    <row r="70" spans="1:10" x14ac:dyDescent="0.3">
      <c r="A70" s="21" t="s">
        <v>15</v>
      </c>
      <c r="B70" s="22" t="str">
        <f>+B69</f>
        <v>*Antonio Yevenes</v>
      </c>
      <c r="C70" s="23">
        <f>SUM(C55:C69)</f>
        <v>10557.74</v>
      </c>
      <c r="D70" s="23">
        <f t="shared" ref="D70:I70" si="3">SUM(D55:D69)</f>
        <v>498.13</v>
      </c>
      <c r="E70" s="23">
        <f t="shared" si="3"/>
        <v>1892</v>
      </c>
      <c r="F70" s="23">
        <f t="shared" si="3"/>
        <v>185</v>
      </c>
      <c r="G70" s="23">
        <f t="shared" si="3"/>
        <v>12634.74</v>
      </c>
      <c r="H70" s="23">
        <f t="shared" si="3"/>
        <v>1820.6499999999999</v>
      </c>
      <c r="I70" s="23">
        <f t="shared" si="3"/>
        <v>14455.39</v>
      </c>
      <c r="J70" s="24"/>
    </row>
    <row r="71" spans="1:10" x14ac:dyDescent="0.3">
      <c r="A71" s="10">
        <v>43119</v>
      </c>
      <c r="B71" t="s">
        <v>20</v>
      </c>
      <c r="C71" s="8">
        <v>1008.2</v>
      </c>
      <c r="D71" s="7">
        <v>80</v>
      </c>
      <c r="E71" s="8">
        <v>191.8</v>
      </c>
      <c r="F71" s="8">
        <v>0</v>
      </c>
      <c r="G71" s="8">
        <v>1200</v>
      </c>
      <c r="H71" s="8">
        <v>281.26</v>
      </c>
      <c r="I71" s="8">
        <v>1481.26</v>
      </c>
    </row>
    <row r="72" spans="1:10" x14ac:dyDescent="0.3">
      <c r="A72" s="10">
        <v>43133</v>
      </c>
      <c r="B72" t="s">
        <v>20</v>
      </c>
      <c r="C72" s="8">
        <v>1008.2</v>
      </c>
      <c r="D72" s="7">
        <v>80</v>
      </c>
      <c r="E72" s="8">
        <v>191.8</v>
      </c>
      <c r="F72" s="8">
        <v>0</v>
      </c>
      <c r="G72" s="8">
        <v>1200</v>
      </c>
      <c r="H72" s="8">
        <v>281.26</v>
      </c>
      <c r="I72" s="8">
        <v>1481.26</v>
      </c>
    </row>
    <row r="73" spans="1:10" x14ac:dyDescent="0.3">
      <c r="A73" s="10">
        <v>43147</v>
      </c>
      <c r="B73" t="s">
        <v>20</v>
      </c>
      <c r="C73" s="8">
        <v>1008.2</v>
      </c>
      <c r="D73" s="7">
        <v>80</v>
      </c>
      <c r="E73" s="8">
        <v>191.8</v>
      </c>
      <c r="F73" s="8">
        <v>0</v>
      </c>
      <c r="G73" s="8">
        <v>1200</v>
      </c>
      <c r="H73" s="8">
        <v>281.26</v>
      </c>
      <c r="I73" s="8">
        <v>1481.26</v>
      </c>
    </row>
    <row r="74" spans="1:10" x14ac:dyDescent="0.3">
      <c r="A74" s="10">
        <v>43161</v>
      </c>
      <c r="B74" t="s">
        <v>20</v>
      </c>
      <c r="C74" s="8">
        <v>1038.02</v>
      </c>
      <c r="D74" s="7">
        <v>80</v>
      </c>
      <c r="E74" s="8">
        <v>161.97999999999999</v>
      </c>
      <c r="F74" s="8">
        <v>0</v>
      </c>
      <c r="G74" s="8">
        <v>1200</v>
      </c>
      <c r="H74" s="8">
        <v>281.26</v>
      </c>
      <c r="I74" s="8">
        <v>1481.26</v>
      </c>
      <c r="J74" s="7" t="s">
        <v>14</v>
      </c>
    </row>
    <row r="75" spans="1:10" x14ac:dyDescent="0.3">
      <c r="A75" s="10">
        <v>43175</v>
      </c>
      <c r="B75" t="s">
        <v>20</v>
      </c>
      <c r="C75" s="8">
        <v>1038.02</v>
      </c>
      <c r="D75" s="7">
        <v>80</v>
      </c>
      <c r="E75" s="8">
        <v>161.97999999999999</v>
      </c>
      <c r="F75" s="8">
        <v>0</v>
      </c>
      <c r="G75" s="8">
        <v>1200</v>
      </c>
      <c r="H75" s="8">
        <v>281.26</v>
      </c>
      <c r="I75" s="8">
        <v>1481.26</v>
      </c>
      <c r="J75" s="7" t="s">
        <v>14</v>
      </c>
    </row>
    <row r="76" spans="1:10" x14ac:dyDescent="0.3">
      <c r="A76" s="10">
        <v>43189</v>
      </c>
      <c r="B76" t="s">
        <v>20</v>
      </c>
      <c r="C76" s="8">
        <v>1038.02</v>
      </c>
      <c r="D76" s="7">
        <v>80</v>
      </c>
      <c r="E76" s="8">
        <v>161.97999999999999</v>
      </c>
      <c r="F76" s="8">
        <v>0</v>
      </c>
      <c r="G76" s="8">
        <v>1200</v>
      </c>
      <c r="H76" s="8">
        <v>280.06</v>
      </c>
      <c r="I76" s="8">
        <v>1480.06</v>
      </c>
      <c r="J76" s="7" t="s">
        <v>14</v>
      </c>
    </row>
    <row r="77" spans="1:10" x14ac:dyDescent="0.3">
      <c r="A77" s="10">
        <v>43203</v>
      </c>
      <c r="B77" t="s">
        <v>20</v>
      </c>
      <c r="C77" s="8">
        <v>1038.02</v>
      </c>
      <c r="D77" s="7">
        <v>80</v>
      </c>
      <c r="E77" s="8">
        <v>161.97999999999999</v>
      </c>
      <c r="F77" s="8">
        <v>0</v>
      </c>
      <c r="G77" s="8">
        <v>1200</v>
      </c>
      <c r="H77" s="8">
        <v>274.06</v>
      </c>
      <c r="I77" s="8">
        <v>1474.06</v>
      </c>
      <c r="J77" s="7" t="s">
        <v>14</v>
      </c>
    </row>
    <row r="78" spans="1:10" x14ac:dyDescent="0.3">
      <c r="A78" s="10">
        <v>43217</v>
      </c>
      <c r="B78" t="s">
        <v>20</v>
      </c>
      <c r="C78" s="8">
        <v>1038.02</v>
      </c>
      <c r="D78" s="7">
        <v>80</v>
      </c>
      <c r="E78" s="8">
        <v>161.97999999999999</v>
      </c>
      <c r="F78" s="8">
        <v>0</v>
      </c>
      <c r="G78" s="8">
        <v>1200</v>
      </c>
      <c r="H78" s="8">
        <v>274.06</v>
      </c>
      <c r="I78" s="8">
        <v>1474.06</v>
      </c>
      <c r="J78" s="7" t="s">
        <v>14</v>
      </c>
    </row>
    <row r="79" spans="1:10" x14ac:dyDescent="0.3">
      <c r="A79" s="10">
        <v>43231</v>
      </c>
      <c r="B79" t="s">
        <v>20</v>
      </c>
      <c r="C79" s="8">
        <v>1038.02</v>
      </c>
      <c r="D79" s="7">
        <v>80</v>
      </c>
      <c r="E79" s="8">
        <v>161.97999999999999</v>
      </c>
      <c r="F79" s="8">
        <v>0</v>
      </c>
      <c r="G79" s="8">
        <v>1200</v>
      </c>
      <c r="H79" s="8">
        <v>274.06</v>
      </c>
      <c r="I79" s="8">
        <v>1474.06</v>
      </c>
      <c r="J79" s="7" t="s">
        <v>14</v>
      </c>
    </row>
    <row r="80" spans="1:10" x14ac:dyDescent="0.3">
      <c r="A80" s="10">
        <v>43245</v>
      </c>
      <c r="B80" t="s">
        <v>20</v>
      </c>
      <c r="C80" s="8">
        <v>1038.02</v>
      </c>
      <c r="D80" s="7">
        <v>80</v>
      </c>
      <c r="E80" s="8">
        <v>161.97999999999999</v>
      </c>
      <c r="F80" s="8">
        <v>0</v>
      </c>
      <c r="G80" s="8">
        <v>1200</v>
      </c>
      <c r="H80" s="8">
        <v>274.06</v>
      </c>
      <c r="I80" s="8">
        <v>1474.06</v>
      </c>
      <c r="J80" s="7" t="s">
        <v>14</v>
      </c>
    </row>
    <row r="81" spans="1:10" x14ac:dyDescent="0.3">
      <c r="A81" s="10">
        <v>43258</v>
      </c>
      <c r="B81" t="s">
        <v>20</v>
      </c>
      <c r="C81" s="8">
        <v>1038.02</v>
      </c>
      <c r="D81" s="7">
        <v>80</v>
      </c>
      <c r="E81" s="8">
        <v>161.97999999999999</v>
      </c>
      <c r="F81" s="8">
        <v>0</v>
      </c>
      <c r="G81" s="8">
        <v>1200</v>
      </c>
      <c r="H81" s="8">
        <v>274.06</v>
      </c>
      <c r="I81" s="8">
        <v>1474.06</v>
      </c>
      <c r="J81" s="7" t="s">
        <v>14</v>
      </c>
    </row>
    <row r="82" spans="1:10" x14ac:dyDescent="0.3">
      <c r="A82" s="10">
        <v>43273</v>
      </c>
      <c r="B82" t="s">
        <v>20</v>
      </c>
      <c r="C82" s="8">
        <v>1038.02</v>
      </c>
      <c r="D82" s="7">
        <v>80</v>
      </c>
      <c r="E82" s="8">
        <v>161.97999999999999</v>
      </c>
      <c r="F82" s="8">
        <v>0</v>
      </c>
      <c r="G82" s="8">
        <v>1200</v>
      </c>
      <c r="H82" s="8">
        <v>274.06</v>
      </c>
      <c r="I82" s="8">
        <v>1474.06</v>
      </c>
      <c r="J82" s="7" t="s">
        <v>14</v>
      </c>
    </row>
    <row r="83" spans="1:10" x14ac:dyDescent="0.3">
      <c r="A83" s="10">
        <v>43287</v>
      </c>
      <c r="B83" t="s">
        <v>20</v>
      </c>
      <c r="C83" s="8">
        <v>1038.02</v>
      </c>
      <c r="D83" s="7">
        <v>80</v>
      </c>
      <c r="E83" s="8">
        <v>161.97999999999999</v>
      </c>
      <c r="F83" s="8">
        <v>0</v>
      </c>
      <c r="G83" s="8">
        <v>1200</v>
      </c>
      <c r="H83" s="8">
        <v>274.06</v>
      </c>
      <c r="I83" s="8">
        <v>1474.06</v>
      </c>
      <c r="J83" s="7" t="s">
        <v>14</v>
      </c>
    </row>
    <row r="84" spans="1:10" x14ac:dyDescent="0.3">
      <c r="A84" s="10">
        <v>43301</v>
      </c>
      <c r="B84" t="s">
        <v>20</v>
      </c>
      <c r="C84" s="8">
        <v>812.6</v>
      </c>
      <c r="D84" s="7">
        <v>61</v>
      </c>
      <c r="E84" s="8">
        <v>102.4</v>
      </c>
      <c r="F84" s="8">
        <v>0</v>
      </c>
      <c r="G84" s="8">
        <v>915</v>
      </c>
      <c r="H84" s="8">
        <v>208.97</v>
      </c>
      <c r="I84" s="8">
        <v>1123.97</v>
      </c>
      <c r="J84" s="7" t="s">
        <v>14</v>
      </c>
    </row>
    <row r="85" spans="1:10" x14ac:dyDescent="0.3">
      <c r="A85" s="10">
        <v>43315</v>
      </c>
      <c r="B85" t="s">
        <v>20</v>
      </c>
      <c r="C85" s="8">
        <v>990.73</v>
      </c>
      <c r="D85" s="7">
        <v>76</v>
      </c>
      <c r="E85" s="8">
        <v>149.27000000000001</v>
      </c>
      <c r="F85" s="8">
        <v>0</v>
      </c>
      <c r="G85" s="8">
        <v>1140</v>
      </c>
      <c r="H85" s="8">
        <v>260.35000000000002</v>
      </c>
      <c r="I85" s="8">
        <v>1400.35</v>
      </c>
      <c r="J85" s="7" t="s">
        <v>14</v>
      </c>
    </row>
    <row r="86" spans="1:10" x14ac:dyDescent="0.3">
      <c r="A86" s="10">
        <v>43329</v>
      </c>
      <c r="B86" t="s">
        <v>20</v>
      </c>
      <c r="C86" s="8">
        <v>1038.02</v>
      </c>
      <c r="D86" s="7">
        <v>80</v>
      </c>
      <c r="E86" s="8">
        <v>161.97999999999999</v>
      </c>
      <c r="F86" s="8">
        <v>0</v>
      </c>
      <c r="G86" s="8">
        <v>1200</v>
      </c>
      <c r="H86" s="8">
        <v>274.06</v>
      </c>
      <c r="I86" s="8">
        <v>1474.06</v>
      </c>
      <c r="J86" s="7" t="s">
        <v>14</v>
      </c>
    </row>
    <row r="87" spans="1:10" x14ac:dyDescent="0.3">
      <c r="A87" s="21" t="s">
        <v>15</v>
      </c>
      <c r="B87" s="22" t="str">
        <f>+B86</f>
        <v>*Bulfrano Brito</v>
      </c>
      <c r="C87" s="23">
        <f>SUM(C71:C86)</f>
        <v>16246.150000000003</v>
      </c>
      <c r="D87" s="23">
        <f t="shared" ref="D87:I87" si="4">SUM(D72:D86)</f>
        <v>1177</v>
      </c>
      <c r="E87" s="23">
        <f t="shared" si="4"/>
        <v>2417.0500000000002</v>
      </c>
      <c r="F87" s="23">
        <f t="shared" si="4"/>
        <v>0</v>
      </c>
      <c r="G87" s="23">
        <f t="shared" si="4"/>
        <v>17655</v>
      </c>
      <c r="H87" s="23">
        <f t="shared" si="4"/>
        <v>4066.8999999999992</v>
      </c>
      <c r="I87" s="23">
        <f t="shared" si="4"/>
        <v>21721.899999999998</v>
      </c>
      <c r="J87" s="24"/>
    </row>
    <row r="88" spans="1:10" x14ac:dyDescent="0.3">
      <c r="A88" s="10">
        <v>43441</v>
      </c>
      <c r="B88" t="s">
        <v>21</v>
      </c>
      <c r="C88" s="8">
        <v>1126</v>
      </c>
      <c r="D88" s="7">
        <v>80</v>
      </c>
      <c r="E88" s="8">
        <v>288.13</v>
      </c>
      <c r="F88" s="8">
        <v>350</v>
      </c>
      <c r="G88" s="8">
        <v>1764.13</v>
      </c>
      <c r="H88" s="8">
        <v>338.01</v>
      </c>
      <c r="I88" s="8">
        <v>2102.14</v>
      </c>
      <c r="J88" s="7" t="s">
        <v>14</v>
      </c>
    </row>
    <row r="89" spans="1:10" x14ac:dyDescent="0.3">
      <c r="A89" s="10">
        <v>43455</v>
      </c>
      <c r="B89" t="s">
        <v>21</v>
      </c>
      <c r="C89" s="8">
        <v>2079</v>
      </c>
      <c r="D89" s="7">
        <v>80</v>
      </c>
      <c r="E89" s="8">
        <v>470.46</v>
      </c>
      <c r="F89" s="8">
        <v>0</v>
      </c>
      <c r="G89" s="8">
        <v>2549.46</v>
      </c>
      <c r="H89" s="8">
        <v>417.01</v>
      </c>
      <c r="I89" s="8">
        <v>2966.47</v>
      </c>
      <c r="J89" s="7" t="s">
        <v>14</v>
      </c>
    </row>
    <row r="90" spans="1:10" x14ac:dyDescent="0.3">
      <c r="A90" s="10">
        <v>43469</v>
      </c>
      <c r="B90" t="s">
        <v>21</v>
      </c>
      <c r="C90" s="8">
        <v>0</v>
      </c>
      <c r="D90" s="7">
        <v>0</v>
      </c>
      <c r="E90" s="8">
        <v>-0.01</v>
      </c>
      <c r="F90" s="8">
        <v>0.01</v>
      </c>
      <c r="G90" s="8">
        <v>0</v>
      </c>
      <c r="H90" s="8">
        <v>0</v>
      </c>
      <c r="I90" s="8">
        <v>0</v>
      </c>
    </row>
    <row r="91" spans="1:10" x14ac:dyDescent="0.3">
      <c r="A91" s="10">
        <v>43469</v>
      </c>
      <c r="B91" t="s">
        <v>21</v>
      </c>
      <c r="C91" s="8">
        <v>895.48</v>
      </c>
      <c r="D91" s="7">
        <v>80</v>
      </c>
      <c r="E91" s="8">
        <v>234.52</v>
      </c>
      <c r="F91" s="8">
        <v>350</v>
      </c>
      <c r="G91" s="8">
        <v>1480</v>
      </c>
      <c r="H91" s="8">
        <v>309.43</v>
      </c>
      <c r="I91" s="8">
        <v>1789.43</v>
      </c>
      <c r="J91" s="7" t="s">
        <v>14</v>
      </c>
    </row>
    <row r="92" spans="1:10" x14ac:dyDescent="0.3">
      <c r="A92" s="10">
        <v>43469</v>
      </c>
      <c r="B92" t="s">
        <v>21</v>
      </c>
      <c r="C92" s="8">
        <v>428.52</v>
      </c>
      <c r="D92" s="7">
        <v>0</v>
      </c>
      <c r="E92" s="8">
        <v>36.78</v>
      </c>
      <c r="F92" s="8">
        <v>0</v>
      </c>
      <c r="G92" s="8">
        <v>465.3</v>
      </c>
      <c r="H92" s="8">
        <v>46.81</v>
      </c>
      <c r="I92" s="8">
        <v>512.11</v>
      </c>
      <c r="J92" s="7">
        <v>100126</v>
      </c>
    </row>
    <row r="93" spans="1:10" x14ac:dyDescent="0.3">
      <c r="A93" s="10">
        <v>43469</v>
      </c>
      <c r="B93" t="s">
        <v>21</v>
      </c>
      <c r="C93" s="8">
        <v>0</v>
      </c>
      <c r="D93" s="7">
        <v>0</v>
      </c>
      <c r="E93" s="8">
        <v>0</v>
      </c>
      <c r="F93" s="8">
        <v>0</v>
      </c>
      <c r="G93" s="8">
        <v>0</v>
      </c>
      <c r="H93" s="8">
        <v>0</v>
      </c>
      <c r="I93" s="8">
        <v>0</v>
      </c>
    </row>
    <row r="94" spans="1:10" x14ac:dyDescent="0.3">
      <c r="A94" s="10">
        <v>43483</v>
      </c>
      <c r="B94" t="s">
        <v>21</v>
      </c>
      <c r="C94" s="8">
        <v>1979.96</v>
      </c>
      <c r="D94" s="7">
        <v>80</v>
      </c>
      <c r="E94" s="8">
        <v>216.04</v>
      </c>
      <c r="F94" s="8">
        <v>0</v>
      </c>
      <c r="G94" s="8">
        <v>2196</v>
      </c>
      <c r="H94" s="8">
        <v>381.46</v>
      </c>
      <c r="I94" s="8">
        <v>2577.46</v>
      </c>
      <c r="J94" s="7" t="s">
        <v>14</v>
      </c>
    </row>
    <row r="95" spans="1:10" x14ac:dyDescent="0.3">
      <c r="A95" s="10">
        <v>43483</v>
      </c>
      <c r="B95" t="s">
        <v>21</v>
      </c>
      <c r="C95" s="8">
        <v>216.04</v>
      </c>
      <c r="D95" s="7">
        <v>0</v>
      </c>
      <c r="E95" s="8">
        <v>18.53</v>
      </c>
      <c r="F95" s="8">
        <v>0</v>
      </c>
      <c r="G95" s="8">
        <v>234.57</v>
      </c>
      <c r="H95" s="8">
        <v>23.6</v>
      </c>
      <c r="I95" s="8">
        <v>258.17</v>
      </c>
      <c r="J95" s="7" t="s">
        <v>14</v>
      </c>
    </row>
    <row r="96" spans="1:10" x14ac:dyDescent="0.3">
      <c r="A96" s="10">
        <v>43483</v>
      </c>
      <c r="B96" t="s">
        <v>21</v>
      </c>
      <c r="C96" s="8">
        <v>0</v>
      </c>
      <c r="D96" s="7">
        <v>0</v>
      </c>
      <c r="E96" s="8">
        <v>0</v>
      </c>
      <c r="F96" s="8">
        <v>0</v>
      </c>
      <c r="G96" s="8">
        <v>0</v>
      </c>
      <c r="H96" s="8">
        <v>0</v>
      </c>
      <c r="I96" s="8">
        <v>0</v>
      </c>
    </row>
    <row r="97" spans="1:10" x14ac:dyDescent="0.3">
      <c r="A97" s="10">
        <v>43497</v>
      </c>
      <c r="B97" t="s">
        <v>21</v>
      </c>
      <c r="C97" s="8">
        <v>0</v>
      </c>
      <c r="D97" s="7">
        <v>0</v>
      </c>
      <c r="E97" s="8">
        <v>-0.01</v>
      </c>
      <c r="F97" s="8">
        <v>0.01</v>
      </c>
      <c r="G97" s="8">
        <v>0</v>
      </c>
      <c r="H97" s="8">
        <v>0</v>
      </c>
      <c r="I97" s="8">
        <v>0</v>
      </c>
    </row>
    <row r="98" spans="1:10" x14ac:dyDescent="0.3">
      <c r="A98" s="10">
        <v>43497</v>
      </c>
      <c r="B98" t="s">
        <v>21</v>
      </c>
      <c r="C98" s="8">
        <v>2181</v>
      </c>
      <c r="D98" s="7">
        <v>80</v>
      </c>
      <c r="E98" s="8">
        <v>664.43</v>
      </c>
      <c r="F98" s="8">
        <v>350</v>
      </c>
      <c r="G98" s="8">
        <v>3195.43</v>
      </c>
      <c r="H98" s="8">
        <v>478.57</v>
      </c>
      <c r="I98" s="8">
        <v>3674</v>
      </c>
      <c r="J98" s="7" t="s">
        <v>14</v>
      </c>
    </row>
    <row r="99" spans="1:10" x14ac:dyDescent="0.3">
      <c r="A99" s="10">
        <v>43511</v>
      </c>
      <c r="B99" t="s">
        <v>21</v>
      </c>
      <c r="C99" s="8">
        <v>1984</v>
      </c>
      <c r="D99" s="7">
        <v>80</v>
      </c>
      <c r="E99" s="8">
        <v>216.39</v>
      </c>
      <c r="F99" s="8">
        <v>0</v>
      </c>
      <c r="G99" s="8">
        <v>2200.39</v>
      </c>
      <c r="H99" s="8">
        <v>368.69</v>
      </c>
      <c r="I99" s="8">
        <v>2569.08</v>
      </c>
      <c r="J99" s="7" t="s">
        <v>14</v>
      </c>
    </row>
    <row r="100" spans="1:10" x14ac:dyDescent="0.3">
      <c r="A100" s="10">
        <v>43523</v>
      </c>
      <c r="B100" t="s">
        <v>21</v>
      </c>
      <c r="C100" s="8">
        <v>1802</v>
      </c>
      <c r="D100" s="7">
        <v>0</v>
      </c>
      <c r="E100" s="8">
        <v>319.75</v>
      </c>
      <c r="F100" s="8">
        <v>0</v>
      </c>
      <c r="G100" s="8">
        <v>2121.75</v>
      </c>
      <c r="H100" s="8">
        <v>200.71</v>
      </c>
      <c r="I100" s="8">
        <v>2322.46</v>
      </c>
      <c r="J100" s="7" t="s">
        <v>14</v>
      </c>
    </row>
    <row r="101" spans="1:10" x14ac:dyDescent="0.3">
      <c r="A101" s="10">
        <v>43539</v>
      </c>
      <c r="B101" t="s">
        <v>21</v>
      </c>
      <c r="C101" s="8">
        <v>2299</v>
      </c>
      <c r="D101" s="7">
        <v>80</v>
      </c>
      <c r="E101" s="8">
        <v>565.47</v>
      </c>
      <c r="F101" s="8">
        <v>0</v>
      </c>
      <c r="G101" s="8">
        <v>2864.47</v>
      </c>
      <c r="H101" s="8">
        <v>431.53</v>
      </c>
      <c r="I101" s="8">
        <v>3296</v>
      </c>
      <c r="J101" s="7" t="s">
        <v>14</v>
      </c>
    </row>
    <row r="102" spans="1:10" x14ac:dyDescent="0.3">
      <c r="A102" s="10">
        <v>43553</v>
      </c>
      <c r="B102" t="s">
        <v>21</v>
      </c>
      <c r="C102" s="8">
        <v>1897</v>
      </c>
      <c r="D102" s="7">
        <v>80</v>
      </c>
      <c r="E102" s="8">
        <v>543.29</v>
      </c>
      <c r="F102" s="8">
        <v>350</v>
      </c>
      <c r="G102" s="8">
        <v>2790.29</v>
      </c>
      <c r="H102" s="8">
        <v>424.5</v>
      </c>
      <c r="I102" s="8">
        <v>3214.79</v>
      </c>
      <c r="J102" s="7" t="s">
        <v>14</v>
      </c>
    </row>
    <row r="103" spans="1:10" x14ac:dyDescent="0.3">
      <c r="A103" s="10">
        <v>43553</v>
      </c>
      <c r="B103" t="s">
        <v>21</v>
      </c>
      <c r="C103" s="8">
        <v>0</v>
      </c>
      <c r="D103" s="7">
        <v>0</v>
      </c>
      <c r="E103" s="8">
        <v>0</v>
      </c>
      <c r="F103" s="8">
        <v>0</v>
      </c>
      <c r="G103" s="8">
        <v>0</v>
      </c>
      <c r="H103" s="8">
        <v>-29.83</v>
      </c>
      <c r="I103" s="8">
        <v>-29.83</v>
      </c>
    </row>
    <row r="104" spans="1:10" x14ac:dyDescent="0.3">
      <c r="A104" s="10">
        <v>43553</v>
      </c>
      <c r="B104" t="s">
        <v>21</v>
      </c>
      <c r="C104" s="8">
        <v>0</v>
      </c>
      <c r="D104" s="7">
        <v>0</v>
      </c>
      <c r="E104" s="8">
        <v>-0.01</v>
      </c>
      <c r="F104" s="8">
        <v>0.01</v>
      </c>
      <c r="G104" s="8">
        <v>0</v>
      </c>
      <c r="H104" s="8">
        <v>0</v>
      </c>
      <c r="I104" s="8">
        <v>0</v>
      </c>
    </row>
    <row r="105" spans="1:10" x14ac:dyDescent="0.3">
      <c r="A105" s="10">
        <v>43567</v>
      </c>
      <c r="B105" t="s">
        <v>21</v>
      </c>
      <c r="C105" s="8">
        <v>1897</v>
      </c>
      <c r="D105" s="7">
        <v>80</v>
      </c>
      <c r="E105" s="8">
        <v>396.41</v>
      </c>
      <c r="F105" s="8">
        <v>0</v>
      </c>
      <c r="G105" s="8">
        <v>2293.41</v>
      </c>
      <c r="H105" s="8">
        <v>377.49</v>
      </c>
      <c r="I105" s="8">
        <v>2670.9</v>
      </c>
      <c r="J105" s="7" t="s">
        <v>14</v>
      </c>
    </row>
    <row r="106" spans="1:10" x14ac:dyDescent="0.3">
      <c r="A106" s="10">
        <v>43567</v>
      </c>
      <c r="B106" t="s">
        <v>21</v>
      </c>
      <c r="C106" s="8">
        <v>0</v>
      </c>
      <c r="D106" s="7">
        <v>0</v>
      </c>
      <c r="E106" s="8">
        <v>0</v>
      </c>
      <c r="F106" s="8">
        <v>0</v>
      </c>
      <c r="G106" s="8">
        <v>0</v>
      </c>
      <c r="H106" s="8">
        <v>-4.55</v>
      </c>
      <c r="I106" s="8">
        <v>-4.55</v>
      </c>
    </row>
    <row r="107" spans="1:10" x14ac:dyDescent="0.3">
      <c r="A107" s="10">
        <v>43567</v>
      </c>
      <c r="B107" t="s">
        <v>21</v>
      </c>
      <c r="C107" s="8">
        <v>339</v>
      </c>
      <c r="D107" s="7">
        <v>20</v>
      </c>
      <c r="E107" s="8">
        <v>40.630000000000003</v>
      </c>
      <c r="F107" s="8">
        <v>0</v>
      </c>
      <c r="G107" s="8">
        <v>379.63</v>
      </c>
      <c r="H107" s="8">
        <v>76.06</v>
      </c>
      <c r="I107" s="8">
        <v>455.69</v>
      </c>
      <c r="J107" s="7">
        <v>100173</v>
      </c>
    </row>
    <row r="108" spans="1:10" x14ac:dyDescent="0.3">
      <c r="A108" s="10">
        <v>43567</v>
      </c>
      <c r="B108" t="s">
        <v>21</v>
      </c>
      <c r="C108" s="8">
        <v>0</v>
      </c>
      <c r="D108" s="7">
        <v>0</v>
      </c>
      <c r="E108" s="8">
        <v>-0.01</v>
      </c>
      <c r="F108" s="8">
        <v>0.01</v>
      </c>
      <c r="G108" s="8">
        <v>0</v>
      </c>
      <c r="H108" s="8">
        <v>0</v>
      </c>
      <c r="I108" s="8">
        <v>0</v>
      </c>
    </row>
    <row r="109" spans="1:10" x14ac:dyDescent="0.3">
      <c r="A109" s="10">
        <v>43581</v>
      </c>
      <c r="B109" t="s">
        <v>21</v>
      </c>
      <c r="C109" s="8">
        <v>1907</v>
      </c>
      <c r="D109" s="7">
        <v>80</v>
      </c>
      <c r="E109" s="8">
        <v>547.53</v>
      </c>
      <c r="F109" s="8">
        <v>350</v>
      </c>
      <c r="G109" s="8">
        <v>2804.53</v>
      </c>
      <c r="H109" s="8">
        <v>421.08</v>
      </c>
      <c r="I109" s="8">
        <v>3225.61</v>
      </c>
      <c r="J109" s="7" t="s">
        <v>14</v>
      </c>
    </row>
    <row r="110" spans="1:10" x14ac:dyDescent="0.3">
      <c r="A110" s="10">
        <v>43595</v>
      </c>
      <c r="B110" t="s">
        <v>21</v>
      </c>
      <c r="C110" s="8">
        <v>2698</v>
      </c>
      <c r="D110" s="7">
        <v>80</v>
      </c>
      <c r="E110" s="8">
        <v>735.67</v>
      </c>
      <c r="F110" s="8">
        <v>0</v>
      </c>
      <c r="G110" s="8">
        <v>3433.67</v>
      </c>
      <c r="H110" s="8">
        <v>479.53</v>
      </c>
      <c r="I110" s="8">
        <v>3913.2</v>
      </c>
      <c r="J110" s="7" t="s">
        <v>14</v>
      </c>
    </row>
    <row r="111" spans="1:10" x14ac:dyDescent="0.3">
      <c r="A111" s="10">
        <v>43609</v>
      </c>
      <c r="B111" t="s">
        <v>21</v>
      </c>
      <c r="C111" s="8">
        <v>2348</v>
      </c>
      <c r="D111" s="7">
        <v>80</v>
      </c>
      <c r="E111" s="8">
        <v>735.66</v>
      </c>
      <c r="F111" s="8">
        <v>350</v>
      </c>
      <c r="G111" s="8">
        <v>3433.66</v>
      </c>
      <c r="H111" s="8">
        <v>479.53</v>
      </c>
      <c r="I111" s="8">
        <v>3913.19</v>
      </c>
      <c r="J111" s="7" t="s">
        <v>14</v>
      </c>
    </row>
    <row r="112" spans="1:10" x14ac:dyDescent="0.3">
      <c r="A112" s="10">
        <v>43623</v>
      </c>
      <c r="B112" t="s">
        <v>21</v>
      </c>
      <c r="C112" s="8">
        <v>2163</v>
      </c>
      <c r="D112" s="7">
        <v>80</v>
      </c>
      <c r="E112" s="8">
        <v>507.44</v>
      </c>
      <c r="F112" s="8">
        <v>0</v>
      </c>
      <c r="G112" s="8">
        <v>2670.44</v>
      </c>
      <c r="H112" s="8">
        <v>408.62</v>
      </c>
      <c r="I112" s="8">
        <v>3079.06</v>
      </c>
      <c r="J112" s="7" t="s">
        <v>14</v>
      </c>
    </row>
    <row r="113" spans="1:10" x14ac:dyDescent="0.3">
      <c r="A113" s="10">
        <v>43637</v>
      </c>
      <c r="B113" t="s">
        <v>21</v>
      </c>
      <c r="C113" s="8">
        <v>2821</v>
      </c>
      <c r="D113" s="7">
        <v>80</v>
      </c>
      <c r="E113" s="8">
        <v>318.25</v>
      </c>
      <c r="F113" s="8">
        <v>350</v>
      </c>
      <c r="G113" s="8">
        <v>3489.25</v>
      </c>
      <c r="H113" s="8">
        <v>484.69</v>
      </c>
      <c r="I113" s="8">
        <v>3973.94</v>
      </c>
      <c r="J113" s="7" t="s">
        <v>14</v>
      </c>
    </row>
    <row r="114" spans="1:10" x14ac:dyDescent="0.3">
      <c r="A114" s="10">
        <v>43651</v>
      </c>
      <c r="B114" t="s">
        <v>21</v>
      </c>
      <c r="C114" s="8">
        <v>2038</v>
      </c>
      <c r="D114" s="7">
        <v>80</v>
      </c>
      <c r="E114" s="8">
        <v>259.64</v>
      </c>
      <c r="F114" s="8">
        <v>450</v>
      </c>
      <c r="G114" s="8">
        <v>2747.64</v>
      </c>
      <c r="H114" s="8">
        <v>415.8</v>
      </c>
      <c r="I114" s="8">
        <v>3163.44</v>
      </c>
      <c r="J114" s="7" t="s">
        <v>14</v>
      </c>
    </row>
    <row r="115" spans="1:10" x14ac:dyDescent="0.3">
      <c r="A115" s="10">
        <v>43665</v>
      </c>
      <c r="B115" t="s">
        <v>21</v>
      </c>
      <c r="C115" s="8">
        <v>1341</v>
      </c>
      <c r="D115" s="7">
        <v>80</v>
      </c>
      <c r="E115" s="8">
        <v>278.69</v>
      </c>
      <c r="F115" s="8">
        <v>675</v>
      </c>
      <c r="G115" s="8">
        <v>2294.69</v>
      </c>
      <c r="H115" s="8">
        <v>373.72</v>
      </c>
      <c r="I115" s="8">
        <v>2668.41</v>
      </c>
      <c r="J115" s="7" t="s">
        <v>14</v>
      </c>
    </row>
    <row r="116" spans="1:10" x14ac:dyDescent="0.3">
      <c r="A116" s="10">
        <v>43679</v>
      </c>
      <c r="B116" t="s">
        <v>21</v>
      </c>
      <c r="C116" s="8">
        <v>2285</v>
      </c>
      <c r="D116" s="7">
        <v>80</v>
      </c>
      <c r="E116" s="8">
        <v>427.56</v>
      </c>
      <c r="F116" s="8">
        <v>349.96</v>
      </c>
      <c r="G116" s="8">
        <v>3062.52</v>
      </c>
      <c r="H116" s="8">
        <v>445.04</v>
      </c>
      <c r="I116" s="8">
        <v>3507.56</v>
      </c>
      <c r="J116" s="7" t="s">
        <v>14</v>
      </c>
    </row>
    <row r="117" spans="1:10" x14ac:dyDescent="0.3">
      <c r="A117" s="10">
        <v>43693</v>
      </c>
      <c r="B117" t="s">
        <v>21</v>
      </c>
      <c r="C117" s="8">
        <v>1626</v>
      </c>
      <c r="D117" s="7">
        <v>80</v>
      </c>
      <c r="E117" s="8">
        <v>325.94</v>
      </c>
      <c r="F117" s="8">
        <v>600</v>
      </c>
      <c r="G117" s="8">
        <v>2551.94</v>
      </c>
      <c r="H117" s="8">
        <v>397.61</v>
      </c>
      <c r="I117" s="8">
        <v>2949.55</v>
      </c>
      <c r="J117" s="7" t="s">
        <v>14</v>
      </c>
    </row>
    <row r="118" spans="1:10" x14ac:dyDescent="0.3">
      <c r="A118" s="10">
        <v>43707</v>
      </c>
      <c r="B118" t="s">
        <v>21</v>
      </c>
      <c r="C118" s="8">
        <v>1876</v>
      </c>
      <c r="D118" s="7">
        <v>80</v>
      </c>
      <c r="E118" s="8">
        <v>325.94</v>
      </c>
      <c r="F118" s="8">
        <v>350</v>
      </c>
      <c r="G118" s="8">
        <v>2551.94</v>
      </c>
      <c r="H118" s="8">
        <v>397.61</v>
      </c>
      <c r="I118" s="8">
        <v>2949.55</v>
      </c>
      <c r="J118" s="7" t="s">
        <v>14</v>
      </c>
    </row>
    <row r="119" spans="1:10" x14ac:dyDescent="0.3">
      <c r="A119" s="10">
        <v>43721</v>
      </c>
      <c r="B119" t="s">
        <v>21</v>
      </c>
      <c r="C119" s="8">
        <v>1921</v>
      </c>
      <c r="D119" s="7">
        <v>80</v>
      </c>
      <c r="E119" s="8">
        <v>257.98</v>
      </c>
      <c r="F119" s="8">
        <v>0</v>
      </c>
      <c r="G119" s="8">
        <v>2178.98</v>
      </c>
      <c r="H119" s="8">
        <v>336.06</v>
      </c>
      <c r="I119" s="8">
        <v>2515.04</v>
      </c>
      <c r="J119" s="7" t="s">
        <v>14</v>
      </c>
    </row>
    <row r="120" spans="1:10" x14ac:dyDescent="0.3">
      <c r="A120" s="10">
        <v>43735</v>
      </c>
      <c r="B120" t="s">
        <v>21</v>
      </c>
      <c r="C120" s="8">
        <v>2254</v>
      </c>
      <c r="D120" s="7">
        <v>80</v>
      </c>
      <c r="E120" s="8">
        <v>419.86</v>
      </c>
      <c r="F120" s="8">
        <v>350</v>
      </c>
      <c r="G120" s="8">
        <v>3023.86</v>
      </c>
      <c r="H120" s="8">
        <v>391.86</v>
      </c>
      <c r="I120" s="8">
        <v>3415.72</v>
      </c>
      <c r="J120" s="7" t="s">
        <v>14</v>
      </c>
    </row>
    <row r="121" spans="1:10" x14ac:dyDescent="0.3">
      <c r="A121" s="10">
        <v>43749</v>
      </c>
      <c r="B121" t="s">
        <v>21</v>
      </c>
      <c r="C121" s="8">
        <v>2730</v>
      </c>
      <c r="D121" s="7">
        <v>80</v>
      </c>
      <c r="E121" s="8">
        <v>451.18</v>
      </c>
      <c r="F121" s="8">
        <v>0</v>
      </c>
      <c r="G121" s="8">
        <v>3181.18</v>
      </c>
      <c r="H121" s="8">
        <v>403.9</v>
      </c>
      <c r="I121" s="8">
        <v>3585.08</v>
      </c>
      <c r="J121" s="7" t="s">
        <v>14</v>
      </c>
    </row>
    <row r="122" spans="1:10" x14ac:dyDescent="0.3">
      <c r="A122" s="10">
        <v>43763</v>
      </c>
      <c r="B122" t="s">
        <v>21</v>
      </c>
      <c r="C122" s="8">
        <v>1603</v>
      </c>
      <c r="D122" s="7">
        <v>80</v>
      </c>
      <c r="E122" s="8">
        <v>264.95999999999998</v>
      </c>
      <c r="F122" s="8">
        <v>350</v>
      </c>
      <c r="G122" s="8">
        <v>2217.96</v>
      </c>
      <c r="H122" s="8">
        <v>330.22</v>
      </c>
      <c r="I122" s="8">
        <v>2548.1799999999998</v>
      </c>
      <c r="J122" s="7" t="s">
        <v>14</v>
      </c>
    </row>
    <row r="123" spans="1:10" x14ac:dyDescent="0.3">
      <c r="A123" s="10">
        <v>43777</v>
      </c>
      <c r="B123" t="s">
        <v>21</v>
      </c>
      <c r="C123" s="8">
        <v>2425</v>
      </c>
      <c r="D123" s="7">
        <v>80</v>
      </c>
      <c r="E123" s="8">
        <v>375.38</v>
      </c>
      <c r="F123" s="8">
        <v>0</v>
      </c>
      <c r="G123" s="8">
        <v>2800.38</v>
      </c>
      <c r="H123" s="8">
        <v>374.77</v>
      </c>
      <c r="I123" s="8">
        <v>3175.15</v>
      </c>
      <c r="J123" s="7" t="s">
        <v>14</v>
      </c>
    </row>
    <row r="124" spans="1:10" x14ac:dyDescent="0.3">
      <c r="A124" s="10">
        <v>43791</v>
      </c>
      <c r="B124" t="s">
        <v>21</v>
      </c>
      <c r="C124" s="8">
        <v>1680</v>
      </c>
      <c r="D124" s="7">
        <v>80</v>
      </c>
      <c r="E124" s="8">
        <v>205.42</v>
      </c>
      <c r="F124" s="8">
        <v>0</v>
      </c>
      <c r="G124" s="8">
        <v>1885.42</v>
      </c>
      <c r="H124" s="8">
        <v>304.77</v>
      </c>
      <c r="I124" s="8">
        <v>2190.19</v>
      </c>
      <c r="J124" s="7" t="s">
        <v>14</v>
      </c>
    </row>
    <row r="125" spans="1:10" x14ac:dyDescent="0.3">
      <c r="A125" s="10">
        <v>43805</v>
      </c>
      <c r="B125" t="s">
        <v>21</v>
      </c>
      <c r="C125" s="8">
        <v>977</v>
      </c>
      <c r="D125" s="7">
        <v>80</v>
      </c>
      <c r="E125" s="8">
        <v>129.97999999999999</v>
      </c>
      <c r="F125" s="8">
        <v>0</v>
      </c>
      <c r="G125" s="8">
        <v>1106.98</v>
      </c>
      <c r="H125" s="8">
        <v>245.23</v>
      </c>
      <c r="I125" s="8">
        <v>1352.21</v>
      </c>
      <c r="J125" s="7" t="s">
        <v>14</v>
      </c>
    </row>
    <row r="126" spans="1:10" x14ac:dyDescent="0.3">
      <c r="A126" s="10">
        <v>43819</v>
      </c>
      <c r="B126" t="s">
        <v>21</v>
      </c>
      <c r="C126" s="8">
        <v>2226</v>
      </c>
      <c r="D126" s="7">
        <v>80</v>
      </c>
      <c r="E126" s="8">
        <v>325.94</v>
      </c>
      <c r="F126" s="8">
        <v>0</v>
      </c>
      <c r="G126" s="8">
        <v>2551.94</v>
      </c>
      <c r="H126" s="8">
        <v>355.76</v>
      </c>
      <c r="I126" s="8">
        <v>2907.7</v>
      </c>
      <c r="J126" s="7" t="s">
        <v>14</v>
      </c>
    </row>
    <row r="127" spans="1:10" x14ac:dyDescent="0.3">
      <c r="A127" s="10">
        <v>43833</v>
      </c>
      <c r="B127" t="s">
        <v>21</v>
      </c>
      <c r="C127" s="8">
        <v>1892</v>
      </c>
      <c r="D127" s="7">
        <v>80</v>
      </c>
      <c r="E127" s="8">
        <v>247.44</v>
      </c>
      <c r="F127" s="8">
        <v>0</v>
      </c>
      <c r="G127" s="8">
        <v>2139.44</v>
      </c>
      <c r="H127" s="8">
        <v>372.14</v>
      </c>
      <c r="I127" s="8">
        <v>2511.58</v>
      </c>
      <c r="J127" s="7" t="s">
        <v>14</v>
      </c>
    </row>
    <row r="128" spans="1:10" x14ac:dyDescent="0.3">
      <c r="A128" s="10">
        <v>43847</v>
      </c>
      <c r="B128" t="s">
        <v>21</v>
      </c>
      <c r="C128" s="8">
        <v>2310</v>
      </c>
      <c r="D128" s="7">
        <v>80</v>
      </c>
      <c r="E128" s="8">
        <v>277.97000000000003</v>
      </c>
      <c r="F128" s="8">
        <v>0</v>
      </c>
      <c r="G128" s="8">
        <v>2587.9699999999998</v>
      </c>
      <c r="H128" s="8">
        <v>389</v>
      </c>
      <c r="I128" s="8">
        <v>2976.97</v>
      </c>
      <c r="J128" s="7" t="s">
        <v>14</v>
      </c>
    </row>
    <row r="129" spans="1:10" x14ac:dyDescent="0.3">
      <c r="A129" s="10">
        <v>43861</v>
      </c>
      <c r="B129" t="s">
        <v>21</v>
      </c>
      <c r="C129" s="8">
        <v>0</v>
      </c>
      <c r="D129" s="7">
        <v>0</v>
      </c>
      <c r="E129" s="8">
        <v>0</v>
      </c>
      <c r="F129" s="8">
        <v>0</v>
      </c>
      <c r="G129" s="8">
        <v>0</v>
      </c>
      <c r="H129" s="8">
        <v>-170.82</v>
      </c>
      <c r="I129" s="8">
        <v>-170.82</v>
      </c>
    </row>
    <row r="130" spans="1:10" x14ac:dyDescent="0.3">
      <c r="A130" s="10">
        <v>43861</v>
      </c>
      <c r="B130" t="s">
        <v>21</v>
      </c>
      <c r="C130" s="8">
        <v>2205</v>
      </c>
      <c r="D130" s="7">
        <v>80</v>
      </c>
      <c r="E130" s="8">
        <v>259.17</v>
      </c>
      <c r="F130" s="8">
        <v>0</v>
      </c>
      <c r="G130" s="8">
        <v>2464.17</v>
      </c>
      <c r="H130" s="8">
        <v>378.61</v>
      </c>
      <c r="I130" s="8">
        <v>2842.78</v>
      </c>
      <c r="J130" s="7" t="s">
        <v>14</v>
      </c>
    </row>
    <row r="131" spans="1:10" x14ac:dyDescent="0.3">
      <c r="A131" s="10">
        <v>43875</v>
      </c>
      <c r="B131" t="s">
        <v>21</v>
      </c>
      <c r="C131" s="8">
        <v>2226</v>
      </c>
      <c r="D131" s="7">
        <v>80</v>
      </c>
      <c r="E131" s="8">
        <v>254.11</v>
      </c>
      <c r="F131" s="8">
        <v>0</v>
      </c>
      <c r="G131" s="8">
        <v>2480.11</v>
      </c>
      <c r="H131" s="8">
        <v>321.29000000000002</v>
      </c>
      <c r="I131" s="8">
        <v>2801.4</v>
      </c>
      <c r="J131" s="7" t="s">
        <v>14</v>
      </c>
    </row>
    <row r="132" spans="1:10" x14ac:dyDescent="0.3">
      <c r="A132" s="10">
        <v>43889</v>
      </c>
      <c r="B132" t="s">
        <v>21</v>
      </c>
      <c r="C132" s="8">
        <v>2310</v>
      </c>
      <c r="D132" s="7">
        <v>80</v>
      </c>
      <c r="E132" s="8">
        <v>269.14</v>
      </c>
      <c r="F132" s="8">
        <v>0</v>
      </c>
      <c r="G132" s="8">
        <v>2579.14</v>
      </c>
      <c r="H132" s="8">
        <v>327.02</v>
      </c>
      <c r="I132" s="8">
        <v>2906.16</v>
      </c>
      <c r="J132" s="7" t="s">
        <v>14</v>
      </c>
    </row>
    <row r="133" spans="1:10" x14ac:dyDescent="0.3">
      <c r="A133" s="10">
        <v>43903</v>
      </c>
      <c r="B133" t="s">
        <v>21</v>
      </c>
      <c r="C133" s="8">
        <v>2215</v>
      </c>
      <c r="D133" s="7">
        <v>80</v>
      </c>
      <c r="E133" s="8">
        <v>252.14</v>
      </c>
      <c r="F133" s="8">
        <v>0</v>
      </c>
      <c r="G133" s="8">
        <v>2467.14</v>
      </c>
      <c r="H133" s="8">
        <v>318.19</v>
      </c>
      <c r="I133" s="8">
        <v>2785.33</v>
      </c>
      <c r="J133" s="7" t="s">
        <v>14</v>
      </c>
    </row>
    <row r="134" spans="1:10" x14ac:dyDescent="0.3">
      <c r="A134" s="10">
        <v>43917</v>
      </c>
      <c r="B134" t="s">
        <v>21</v>
      </c>
      <c r="C134" s="8">
        <v>0</v>
      </c>
      <c r="D134" s="7">
        <v>0</v>
      </c>
      <c r="E134" s="8">
        <v>0</v>
      </c>
      <c r="F134" s="8">
        <v>0</v>
      </c>
      <c r="G134" s="8">
        <v>0</v>
      </c>
      <c r="H134" s="8">
        <v>-219.72</v>
      </c>
      <c r="I134" s="8">
        <v>-219.72</v>
      </c>
    </row>
    <row r="135" spans="1:10" x14ac:dyDescent="0.3">
      <c r="A135" s="10">
        <v>43917</v>
      </c>
      <c r="B135" t="s">
        <v>21</v>
      </c>
      <c r="C135" s="8">
        <v>0</v>
      </c>
      <c r="D135" s="7">
        <v>0</v>
      </c>
      <c r="E135" s="8">
        <v>0</v>
      </c>
      <c r="F135" s="8">
        <v>0</v>
      </c>
      <c r="G135" s="8">
        <v>0</v>
      </c>
      <c r="H135" s="8">
        <v>1.45</v>
      </c>
      <c r="I135" s="8">
        <v>1.45</v>
      </c>
    </row>
    <row r="136" spans="1:10" x14ac:dyDescent="0.3">
      <c r="A136" s="10">
        <v>43917</v>
      </c>
      <c r="B136" t="s">
        <v>21</v>
      </c>
      <c r="C136" s="8">
        <v>1050</v>
      </c>
      <c r="D136" s="7">
        <v>50</v>
      </c>
      <c r="E136" s="8">
        <v>104.03</v>
      </c>
      <c r="F136" s="8">
        <v>0</v>
      </c>
      <c r="G136" s="8">
        <v>1154.03</v>
      </c>
      <c r="H136" s="8">
        <v>167.8</v>
      </c>
      <c r="I136" s="8">
        <v>1321.83</v>
      </c>
      <c r="J136" s="7" t="s">
        <v>14</v>
      </c>
    </row>
    <row r="137" spans="1:10" x14ac:dyDescent="0.3">
      <c r="A137" s="10">
        <v>43917</v>
      </c>
      <c r="B137" t="s">
        <v>21</v>
      </c>
      <c r="C137" s="8">
        <v>0</v>
      </c>
      <c r="D137" s="7">
        <v>0</v>
      </c>
      <c r="E137" s="8">
        <v>0</v>
      </c>
      <c r="F137" s="8">
        <v>0</v>
      </c>
      <c r="G137" s="8">
        <v>0</v>
      </c>
      <c r="H137" s="8">
        <v>223.08</v>
      </c>
      <c r="I137" s="8">
        <v>223.08</v>
      </c>
    </row>
    <row r="138" spans="1:10" x14ac:dyDescent="0.3">
      <c r="A138" s="21" t="s">
        <v>15</v>
      </c>
      <c r="B138" s="22" t="str">
        <f>+B137</f>
        <v>*Claudio I. Gamboa</v>
      </c>
      <c r="C138" s="23">
        <f>SUM(C88:C137)</f>
        <v>70251</v>
      </c>
      <c r="D138" s="23">
        <f t="shared" ref="D138:I138" si="5">SUM(D88:D137)</f>
        <v>2710</v>
      </c>
      <c r="E138" s="23">
        <f t="shared" si="5"/>
        <v>12567.809999999998</v>
      </c>
      <c r="F138" s="23">
        <f t="shared" si="5"/>
        <v>5575</v>
      </c>
      <c r="G138" s="23">
        <f t="shared" si="5"/>
        <v>88393.810000000012</v>
      </c>
      <c r="H138" s="23">
        <f t="shared" si="5"/>
        <v>12993.330000000002</v>
      </c>
      <c r="I138" s="23">
        <f t="shared" si="5"/>
        <v>101387.13999999998</v>
      </c>
      <c r="J138" s="24"/>
    </row>
    <row r="139" spans="1:10" x14ac:dyDescent="0.3">
      <c r="A139" s="10">
        <v>43427</v>
      </c>
      <c r="B139" t="s">
        <v>22</v>
      </c>
      <c r="C139" s="8">
        <v>2929</v>
      </c>
      <c r="D139" s="7">
        <v>80</v>
      </c>
      <c r="E139" s="8">
        <v>288.64</v>
      </c>
      <c r="F139" s="8">
        <v>0</v>
      </c>
      <c r="G139" s="8">
        <v>3217.64</v>
      </c>
      <c r="H139" s="8">
        <v>484.24</v>
      </c>
      <c r="I139" s="8">
        <v>3701.88</v>
      </c>
      <c r="J139" s="7" t="s">
        <v>14</v>
      </c>
    </row>
    <row r="140" spans="1:10" x14ac:dyDescent="0.3">
      <c r="A140" s="10">
        <v>43441</v>
      </c>
      <c r="B140" t="s">
        <v>22</v>
      </c>
      <c r="C140" s="8">
        <v>1703</v>
      </c>
      <c r="D140" s="7">
        <v>70.5</v>
      </c>
      <c r="E140" s="8">
        <v>538.87</v>
      </c>
      <c r="F140" s="8">
        <v>200</v>
      </c>
      <c r="G140" s="8">
        <v>2441.87</v>
      </c>
      <c r="H140" s="8">
        <v>387.12</v>
      </c>
      <c r="I140" s="8">
        <v>2828.99</v>
      </c>
      <c r="J140" s="7" t="s">
        <v>14</v>
      </c>
    </row>
    <row r="141" spans="1:10" x14ac:dyDescent="0.3">
      <c r="A141" s="10">
        <v>43451</v>
      </c>
      <c r="B141" t="s">
        <v>22</v>
      </c>
      <c r="C141" s="8">
        <v>3064</v>
      </c>
      <c r="D141" s="7">
        <v>102</v>
      </c>
      <c r="E141" s="8">
        <v>1070.73</v>
      </c>
      <c r="F141" s="8">
        <v>0</v>
      </c>
      <c r="G141" s="8">
        <v>4134.7299999999996</v>
      </c>
      <c r="H141" s="8">
        <v>603.87</v>
      </c>
      <c r="I141" s="8">
        <v>4738.6000000000004</v>
      </c>
      <c r="J141" s="7">
        <v>100112</v>
      </c>
    </row>
    <row r="142" spans="1:10" x14ac:dyDescent="0.3">
      <c r="A142" s="10">
        <v>43511</v>
      </c>
      <c r="B142" t="s">
        <v>22</v>
      </c>
      <c r="C142" s="8">
        <v>2687</v>
      </c>
      <c r="D142" s="7">
        <v>80</v>
      </c>
      <c r="E142" s="8">
        <v>296.02999999999997</v>
      </c>
      <c r="F142" s="8">
        <v>225</v>
      </c>
      <c r="G142" s="8">
        <v>3208.03</v>
      </c>
      <c r="H142" s="8">
        <v>483.27</v>
      </c>
      <c r="I142" s="8">
        <v>3691.3</v>
      </c>
      <c r="J142" s="7" t="s">
        <v>14</v>
      </c>
    </row>
    <row r="143" spans="1:10" x14ac:dyDescent="0.3">
      <c r="A143" s="10">
        <v>43523</v>
      </c>
      <c r="B143" t="s">
        <v>22</v>
      </c>
      <c r="C143" s="8">
        <v>2996</v>
      </c>
      <c r="D143" s="7">
        <v>0</v>
      </c>
      <c r="E143" s="8">
        <v>966.14</v>
      </c>
      <c r="F143" s="8">
        <v>0</v>
      </c>
      <c r="G143" s="8">
        <v>3962.14</v>
      </c>
      <c r="H143" s="8">
        <v>397.57</v>
      </c>
      <c r="I143" s="8">
        <v>4359.71</v>
      </c>
      <c r="J143" s="7" t="s">
        <v>14</v>
      </c>
    </row>
    <row r="144" spans="1:10" x14ac:dyDescent="0.3">
      <c r="A144" s="10">
        <v>43523</v>
      </c>
      <c r="B144" t="s">
        <v>22</v>
      </c>
      <c r="C144" s="8">
        <v>0</v>
      </c>
      <c r="D144" s="7">
        <v>0</v>
      </c>
      <c r="E144" s="8">
        <v>-0.01</v>
      </c>
      <c r="F144" s="8">
        <v>0.01</v>
      </c>
      <c r="G144" s="8">
        <v>0</v>
      </c>
      <c r="H144" s="8">
        <v>0</v>
      </c>
      <c r="I144" s="8">
        <v>0</v>
      </c>
    </row>
    <row r="145" spans="1:10" x14ac:dyDescent="0.3">
      <c r="A145" s="10">
        <v>43539</v>
      </c>
      <c r="B145" t="s">
        <v>22</v>
      </c>
      <c r="C145" s="8">
        <v>3122</v>
      </c>
      <c r="D145" s="7">
        <v>80</v>
      </c>
      <c r="E145" s="8">
        <v>1087.5899999999999</v>
      </c>
      <c r="F145" s="8">
        <v>0</v>
      </c>
      <c r="G145" s="8">
        <v>4209.59</v>
      </c>
      <c r="H145" s="8">
        <v>558.77</v>
      </c>
      <c r="I145" s="8">
        <v>4768.3599999999997</v>
      </c>
      <c r="J145" s="7" t="s">
        <v>14</v>
      </c>
    </row>
    <row r="146" spans="1:10" x14ac:dyDescent="0.3">
      <c r="A146" s="10">
        <v>43539</v>
      </c>
      <c r="B146" t="s">
        <v>22</v>
      </c>
      <c r="C146" s="8">
        <v>0</v>
      </c>
      <c r="D146" s="7">
        <v>0</v>
      </c>
      <c r="E146" s="8">
        <v>-0.01</v>
      </c>
      <c r="F146" s="8">
        <v>0.01</v>
      </c>
      <c r="G146" s="8">
        <v>0</v>
      </c>
      <c r="H146" s="8">
        <v>0</v>
      </c>
      <c r="I146" s="8">
        <v>0</v>
      </c>
    </row>
    <row r="147" spans="1:10" x14ac:dyDescent="0.3">
      <c r="A147" s="10">
        <v>43553</v>
      </c>
      <c r="B147" t="s">
        <v>22</v>
      </c>
      <c r="C147" s="8">
        <v>0</v>
      </c>
      <c r="D147" s="7">
        <v>0</v>
      </c>
      <c r="E147" s="8">
        <v>0</v>
      </c>
      <c r="F147" s="8">
        <v>0</v>
      </c>
      <c r="G147" s="8">
        <v>0</v>
      </c>
      <c r="H147" s="8">
        <v>-26.39</v>
      </c>
      <c r="I147" s="8">
        <v>-26.39</v>
      </c>
    </row>
    <row r="148" spans="1:10" x14ac:dyDescent="0.3">
      <c r="A148" s="10">
        <v>43553</v>
      </c>
      <c r="B148" t="s">
        <v>22</v>
      </c>
      <c r="C148" s="8">
        <v>3080</v>
      </c>
      <c r="D148" s="7">
        <v>80</v>
      </c>
      <c r="E148" s="8">
        <v>1067.8800000000001</v>
      </c>
      <c r="F148" s="8">
        <v>0</v>
      </c>
      <c r="G148" s="8">
        <v>4147.88</v>
      </c>
      <c r="H148" s="8">
        <v>552.91</v>
      </c>
      <c r="I148" s="8">
        <v>4700.79</v>
      </c>
      <c r="J148" s="7" t="s">
        <v>14</v>
      </c>
    </row>
    <row r="149" spans="1:10" x14ac:dyDescent="0.3">
      <c r="A149" s="10">
        <v>43553</v>
      </c>
      <c r="B149" t="s">
        <v>22</v>
      </c>
      <c r="C149" s="8">
        <v>0</v>
      </c>
      <c r="D149" s="7">
        <v>0</v>
      </c>
      <c r="E149" s="8">
        <v>-0.01</v>
      </c>
      <c r="F149" s="8">
        <v>0.01</v>
      </c>
      <c r="G149" s="8">
        <v>0</v>
      </c>
      <c r="H149" s="8">
        <v>0</v>
      </c>
      <c r="I149" s="8">
        <v>0</v>
      </c>
    </row>
    <row r="150" spans="1:10" x14ac:dyDescent="0.3">
      <c r="A150" s="10">
        <v>43567</v>
      </c>
      <c r="B150" t="s">
        <v>22</v>
      </c>
      <c r="C150" s="8">
        <v>3080</v>
      </c>
      <c r="D150" s="7">
        <v>80</v>
      </c>
      <c r="E150" s="8">
        <v>1067.93</v>
      </c>
      <c r="F150" s="8">
        <v>0</v>
      </c>
      <c r="G150" s="8">
        <v>4147.93</v>
      </c>
      <c r="H150" s="8">
        <v>552.95000000000005</v>
      </c>
      <c r="I150" s="8">
        <v>4700.88</v>
      </c>
      <c r="J150" s="7" t="s">
        <v>14</v>
      </c>
    </row>
    <row r="151" spans="1:10" x14ac:dyDescent="0.3">
      <c r="A151" s="10">
        <v>43567</v>
      </c>
      <c r="B151" t="s">
        <v>22</v>
      </c>
      <c r="C151" s="8">
        <v>0</v>
      </c>
      <c r="D151" s="7">
        <v>0</v>
      </c>
      <c r="E151" s="8">
        <v>0</v>
      </c>
      <c r="F151" s="8">
        <v>0</v>
      </c>
      <c r="G151" s="8">
        <v>0</v>
      </c>
      <c r="H151" s="8">
        <v>-7.05</v>
      </c>
      <c r="I151" s="8">
        <v>-7.05</v>
      </c>
    </row>
    <row r="152" spans="1:10" x14ac:dyDescent="0.3">
      <c r="A152" s="10">
        <v>43567</v>
      </c>
      <c r="B152" t="s">
        <v>22</v>
      </c>
      <c r="C152" s="8">
        <v>0</v>
      </c>
      <c r="D152" s="7">
        <v>0</v>
      </c>
      <c r="E152" s="8">
        <v>-0.02</v>
      </c>
      <c r="F152" s="8">
        <v>0.02</v>
      </c>
      <c r="G152" s="8">
        <v>0</v>
      </c>
      <c r="H152" s="8">
        <v>0</v>
      </c>
      <c r="I152" s="8">
        <v>0</v>
      </c>
    </row>
    <row r="153" spans="1:10" x14ac:dyDescent="0.3">
      <c r="A153" s="10">
        <v>43623</v>
      </c>
      <c r="B153" t="s">
        <v>22</v>
      </c>
      <c r="C153" s="8">
        <v>1039</v>
      </c>
      <c r="D153" s="7">
        <v>51</v>
      </c>
      <c r="E153" s="8">
        <v>345.92</v>
      </c>
      <c r="F153" s="8">
        <v>440</v>
      </c>
      <c r="G153" s="8">
        <v>1824.92</v>
      </c>
      <c r="H153" s="8">
        <v>271.86</v>
      </c>
      <c r="I153" s="8">
        <v>2096.7800000000002</v>
      </c>
      <c r="J153" s="7" t="s">
        <v>14</v>
      </c>
    </row>
    <row r="154" spans="1:10" x14ac:dyDescent="0.3">
      <c r="A154" s="10">
        <v>43637</v>
      </c>
      <c r="B154" t="s">
        <v>22</v>
      </c>
      <c r="C154" s="8">
        <v>2760</v>
      </c>
      <c r="D154" s="7">
        <v>80</v>
      </c>
      <c r="E154" s="8">
        <v>572.92999999999995</v>
      </c>
      <c r="F154" s="8">
        <v>460</v>
      </c>
      <c r="G154" s="8">
        <v>3792.93</v>
      </c>
      <c r="H154" s="8">
        <v>512.9</v>
      </c>
      <c r="I154" s="8">
        <v>4305.83</v>
      </c>
      <c r="J154" s="7" t="s">
        <v>14</v>
      </c>
    </row>
    <row r="155" spans="1:10" x14ac:dyDescent="0.3">
      <c r="A155" s="10">
        <v>43651</v>
      </c>
      <c r="B155" t="s">
        <v>22</v>
      </c>
      <c r="C155" s="8">
        <v>508</v>
      </c>
      <c r="D155" s="7">
        <v>26</v>
      </c>
      <c r="E155" s="8">
        <v>77.47</v>
      </c>
      <c r="F155" s="8">
        <v>220</v>
      </c>
      <c r="G155" s="8">
        <v>805.47</v>
      </c>
      <c r="H155" s="8">
        <v>127</v>
      </c>
      <c r="I155" s="8">
        <v>932.47</v>
      </c>
      <c r="J155" s="7" t="s">
        <v>14</v>
      </c>
    </row>
    <row r="156" spans="1:10" x14ac:dyDescent="0.3">
      <c r="A156" s="10">
        <v>43679</v>
      </c>
      <c r="B156" t="s">
        <v>22</v>
      </c>
      <c r="C156" s="8">
        <v>2310</v>
      </c>
      <c r="D156" s="7">
        <v>80</v>
      </c>
      <c r="E156" s="8">
        <v>461.1</v>
      </c>
      <c r="F156" s="8">
        <v>459.95</v>
      </c>
      <c r="G156" s="8">
        <v>3231.05</v>
      </c>
      <c r="H156" s="8">
        <v>460.71</v>
      </c>
      <c r="I156" s="8">
        <v>3691.76</v>
      </c>
      <c r="J156" s="7" t="s">
        <v>14</v>
      </c>
    </row>
    <row r="157" spans="1:10" x14ac:dyDescent="0.3">
      <c r="A157" s="10">
        <v>43693</v>
      </c>
      <c r="B157" t="s">
        <v>22</v>
      </c>
      <c r="C157" s="8">
        <v>2450</v>
      </c>
      <c r="D157" s="7">
        <v>80</v>
      </c>
      <c r="E157" s="8">
        <v>416.4</v>
      </c>
      <c r="F157" s="8">
        <v>140</v>
      </c>
      <c r="G157" s="8">
        <v>3006.4</v>
      </c>
      <c r="H157" s="8">
        <v>439.84</v>
      </c>
      <c r="I157" s="8">
        <v>3446.24</v>
      </c>
      <c r="J157" s="7" t="s">
        <v>14</v>
      </c>
    </row>
    <row r="158" spans="1:10" x14ac:dyDescent="0.3">
      <c r="A158" s="21" t="s">
        <v>15</v>
      </c>
      <c r="B158" s="22" t="str">
        <f>+B157</f>
        <v>*Cristhian Pelaez Ruiz</v>
      </c>
      <c r="C158" s="23">
        <f t="shared" ref="C158:I158" si="6">SUM(C139:C157)</f>
        <v>31728</v>
      </c>
      <c r="D158" s="23">
        <f t="shared" si="6"/>
        <v>889.5</v>
      </c>
      <c r="E158" s="23">
        <f t="shared" si="6"/>
        <v>8257.58</v>
      </c>
      <c r="F158" s="23">
        <f t="shared" si="6"/>
        <v>2145</v>
      </c>
      <c r="G158" s="23">
        <f t="shared" si="6"/>
        <v>42130.580000000009</v>
      </c>
      <c r="H158" s="23">
        <f t="shared" si="6"/>
        <v>5799.57</v>
      </c>
      <c r="I158" s="23">
        <f t="shared" si="6"/>
        <v>47930.15</v>
      </c>
      <c r="J158" s="24"/>
    </row>
    <row r="159" spans="1:10" x14ac:dyDescent="0.3">
      <c r="A159" s="10">
        <v>43427</v>
      </c>
      <c r="B159" t="s">
        <v>23</v>
      </c>
      <c r="C159" s="8">
        <v>2112</v>
      </c>
      <c r="D159" s="7">
        <v>80</v>
      </c>
      <c r="E159" s="8">
        <v>220.96</v>
      </c>
      <c r="F159" s="8">
        <v>0</v>
      </c>
      <c r="G159" s="8">
        <v>2332.96</v>
      </c>
      <c r="H159" s="8">
        <v>395.24</v>
      </c>
      <c r="I159" s="8">
        <v>2728.2</v>
      </c>
      <c r="J159" s="7" t="s">
        <v>14</v>
      </c>
    </row>
    <row r="160" spans="1:10" x14ac:dyDescent="0.3">
      <c r="A160" s="10">
        <v>43441</v>
      </c>
      <c r="B160" t="s">
        <v>23</v>
      </c>
      <c r="C160" s="8">
        <v>1233</v>
      </c>
      <c r="D160" s="7">
        <v>69</v>
      </c>
      <c r="E160" s="8">
        <v>238.39</v>
      </c>
      <c r="F160" s="8">
        <v>285</v>
      </c>
      <c r="G160" s="8">
        <v>1756.39</v>
      </c>
      <c r="H160" s="8">
        <v>315.16000000000003</v>
      </c>
      <c r="I160" s="8">
        <v>2071.5500000000002</v>
      </c>
      <c r="J160" s="7" t="s">
        <v>14</v>
      </c>
    </row>
    <row r="161" spans="1:10" x14ac:dyDescent="0.3">
      <c r="A161" s="10">
        <v>43451</v>
      </c>
      <c r="B161" t="s">
        <v>23</v>
      </c>
      <c r="C161" s="8">
        <v>2112</v>
      </c>
      <c r="D161" s="7">
        <v>96</v>
      </c>
      <c r="E161" s="8">
        <v>400.01</v>
      </c>
      <c r="F161" s="8">
        <v>0</v>
      </c>
      <c r="G161" s="8">
        <v>2512.0100000000002</v>
      </c>
      <c r="H161" s="8">
        <v>445.33</v>
      </c>
      <c r="I161" s="8">
        <v>2957.34</v>
      </c>
      <c r="J161" s="7">
        <v>100111</v>
      </c>
    </row>
    <row r="162" spans="1:10" x14ac:dyDescent="0.3">
      <c r="A162" s="10">
        <v>43469</v>
      </c>
      <c r="B162" t="s">
        <v>23</v>
      </c>
      <c r="C162" s="8">
        <v>330</v>
      </c>
      <c r="D162" s="7">
        <v>15</v>
      </c>
      <c r="E162" s="8">
        <v>36.97</v>
      </c>
      <c r="F162" s="8">
        <v>0</v>
      </c>
      <c r="G162" s="8">
        <v>366.97</v>
      </c>
      <c r="H162" s="8">
        <v>67.010000000000005</v>
      </c>
      <c r="I162" s="8">
        <v>433.98</v>
      </c>
      <c r="J162" s="7">
        <v>100124</v>
      </c>
    </row>
    <row r="163" spans="1:10" x14ac:dyDescent="0.3">
      <c r="A163" s="10">
        <v>43469</v>
      </c>
      <c r="B163" t="s">
        <v>23</v>
      </c>
      <c r="C163" s="8">
        <v>0</v>
      </c>
      <c r="D163" s="7">
        <v>0</v>
      </c>
      <c r="E163" s="8">
        <v>0</v>
      </c>
      <c r="F163" s="8">
        <v>0</v>
      </c>
      <c r="G163" s="8">
        <v>0</v>
      </c>
      <c r="H163" s="8">
        <v>0</v>
      </c>
      <c r="I163" s="8">
        <v>0</v>
      </c>
    </row>
    <row r="164" spans="1:10" x14ac:dyDescent="0.3">
      <c r="A164" s="10">
        <v>43497</v>
      </c>
      <c r="B164" t="s">
        <v>23</v>
      </c>
      <c r="C164" s="8">
        <v>986</v>
      </c>
      <c r="D164" s="7">
        <v>62</v>
      </c>
      <c r="E164" s="8">
        <v>217.1</v>
      </c>
      <c r="F164" s="8">
        <v>440</v>
      </c>
      <c r="G164" s="8">
        <v>1643.1</v>
      </c>
      <c r="H164" s="8">
        <v>289.72000000000003</v>
      </c>
      <c r="I164" s="8">
        <v>1932.82</v>
      </c>
      <c r="J164" s="7">
        <v>100144</v>
      </c>
    </row>
    <row r="165" spans="1:10" x14ac:dyDescent="0.3">
      <c r="A165" s="10">
        <v>43511</v>
      </c>
      <c r="B165" t="s">
        <v>23</v>
      </c>
      <c r="C165" s="8">
        <v>2132</v>
      </c>
      <c r="D165" s="7">
        <v>80</v>
      </c>
      <c r="E165" s="8">
        <v>248.4</v>
      </c>
      <c r="F165" s="8">
        <v>225</v>
      </c>
      <c r="G165" s="8">
        <v>2605.4</v>
      </c>
      <c r="H165" s="8">
        <v>422.64</v>
      </c>
      <c r="I165" s="8">
        <v>3028.04</v>
      </c>
      <c r="J165" s="7" t="s">
        <v>14</v>
      </c>
    </row>
    <row r="166" spans="1:10" x14ac:dyDescent="0.3">
      <c r="A166" s="10">
        <v>43511</v>
      </c>
      <c r="B166" t="s">
        <v>23</v>
      </c>
      <c r="C166" s="8">
        <v>0</v>
      </c>
      <c r="D166" s="7">
        <v>0</v>
      </c>
      <c r="E166" s="8">
        <v>-0.01</v>
      </c>
      <c r="F166" s="8">
        <v>0.01</v>
      </c>
      <c r="G166" s="8">
        <v>0</v>
      </c>
      <c r="H166" s="8">
        <v>0</v>
      </c>
      <c r="I166" s="8">
        <v>0</v>
      </c>
    </row>
    <row r="167" spans="1:10" x14ac:dyDescent="0.3">
      <c r="A167" s="10">
        <v>43523</v>
      </c>
      <c r="B167" t="s">
        <v>23</v>
      </c>
      <c r="C167" s="8">
        <v>2219</v>
      </c>
      <c r="D167" s="7">
        <v>0</v>
      </c>
      <c r="E167" s="8">
        <v>367.97</v>
      </c>
      <c r="F167" s="8">
        <v>0</v>
      </c>
      <c r="G167" s="8">
        <v>2586.9699999999998</v>
      </c>
      <c r="H167" s="8">
        <v>259.04000000000002</v>
      </c>
      <c r="I167" s="8">
        <v>2846.01</v>
      </c>
      <c r="J167" s="7" t="s">
        <v>14</v>
      </c>
    </row>
    <row r="168" spans="1:10" x14ac:dyDescent="0.3">
      <c r="A168" s="10">
        <v>43539</v>
      </c>
      <c r="B168" t="s">
        <v>23</v>
      </c>
      <c r="C168" s="8">
        <v>2150</v>
      </c>
      <c r="D168" s="7">
        <v>80</v>
      </c>
      <c r="E168" s="8">
        <v>403.87</v>
      </c>
      <c r="F168" s="8">
        <v>0</v>
      </c>
      <c r="G168" s="8">
        <v>2553.87</v>
      </c>
      <c r="H168" s="8">
        <v>402.14</v>
      </c>
      <c r="I168" s="8">
        <v>2956.01</v>
      </c>
      <c r="J168" s="7" t="s">
        <v>14</v>
      </c>
    </row>
    <row r="169" spans="1:10" x14ac:dyDescent="0.3">
      <c r="A169" s="10">
        <v>43539</v>
      </c>
      <c r="B169" t="s">
        <v>23</v>
      </c>
      <c r="C169" s="8">
        <v>0</v>
      </c>
      <c r="D169" s="7">
        <v>0</v>
      </c>
      <c r="E169" s="8">
        <v>-0.01</v>
      </c>
      <c r="F169" s="8">
        <v>0.01</v>
      </c>
      <c r="G169" s="8">
        <v>0</v>
      </c>
      <c r="H169" s="8">
        <v>0</v>
      </c>
      <c r="I169" s="8">
        <v>0</v>
      </c>
    </row>
    <row r="170" spans="1:10" x14ac:dyDescent="0.3">
      <c r="A170" s="10">
        <v>43553</v>
      </c>
      <c r="B170" t="s">
        <v>23</v>
      </c>
      <c r="C170" s="8">
        <v>0</v>
      </c>
      <c r="D170" s="7">
        <v>0</v>
      </c>
      <c r="E170" s="8">
        <v>-0.01</v>
      </c>
      <c r="F170" s="8">
        <v>0.01</v>
      </c>
      <c r="G170" s="8">
        <v>0</v>
      </c>
      <c r="H170" s="8">
        <v>0</v>
      </c>
      <c r="I170" s="8">
        <v>0</v>
      </c>
    </row>
    <row r="171" spans="1:10" x14ac:dyDescent="0.3">
      <c r="A171" s="10">
        <v>43553</v>
      </c>
      <c r="B171" t="s">
        <v>23</v>
      </c>
      <c r="C171" s="8">
        <v>2093</v>
      </c>
      <c r="D171" s="7">
        <v>80</v>
      </c>
      <c r="E171" s="8">
        <v>389.71</v>
      </c>
      <c r="F171" s="8">
        <v>0</v>
      </c>
      <c r="G171" s="8">
        <v>2482.71</v>
      </c>
      <c r="H171" s="8">
        <v>395.41</v>
      </c>
      <c r="I171" s="8">
        <v>2878.12</v>
      </c>
      <c r="J171" s="7" t="s">
        <v>14</v>
      </c>
    </row>
    <row r="172" spans="1:10" x14ac:dyDescent="0.3">
      <c r="A172" s="10">
        <v>43553</v>
      </c>
      <c r="B172" t="s">
        <v>23</v>
      </c>
      <c r="C172" s="8">
        <v>0</v>
      </c>
      <c r="D172" s="7">
        <v>0</v>
      </c>
      <c r="E172" s="8">
        <v>0</v>
      </c>
      <c r="F172" s="8">
        <v>0</v>
      </c>
      <c r="G172" s="8">
        <v>0</v>
      </c>
      <c r="H172" s="8">
        <v>-20.81</v>
      </c>
      <c r="I172" s="8">
        <v>-20.81</v>
      </c>
    </row>
    <row r="173" spans="1:10" x14ac:dyDescent="0.3">
      <c r="A173" s="10">
        <v>43567</v>
      </c>
      <c r="B173" t="s">
        <v>23</v>
      </c>
      <c r="C173" s="8">
        <v>0</v>
      </c>
      <c r="D173" s="7">
        <v>0</v>
      </c>
      <c r="E173" s="8">
        <v>-0.01</v>
      </c>
      <c r="F173" s="8">
        <v>0.01</v>
      </c>
      <c r="G173" s="8">
        <v>0</v>
      </c>
      <c r="H173" s="8">
        <v>0</v>
      </c>
      <c r="I173" s="8">
        <v>0</v>
      </c>
    </row>
    <row r="174" spans="1:10" x14ac:dyDescent="0.3">
      <c r="A174" s="10">
        <v>43567</v>
      </c>
      <c r="B174" t="s">
        <v>23</v>
      </c>
      <c r="C174" s="8">
        <v>0</v>
      </c>
      <c r="D174" s="7">
        <v>0</v>
      </c>
      <c r="E174" s="8">
        <v>0</v>
      </c>
      <c r="F174" s="8">
        <v>0</v>
      </c>
      <c r="G174" s="8">
        <v>0</v>
      </c>
      <c r="H174" s="8">
        <v>-4.22</v>
      </c>
      <c r="I174" s="8">
        <v>-4.22</v>
      </c>
    </row>
    <row r="175" spans="1:10" x14ac:dyDescent="0.3">
      <c r="A175" s="10">
        <v>43567</v>
      </c>
      <c r="B175" t="s">
        <v>23</v>
      </c>
      <c r="C175" s="8">
        <v>2093</v>
      </c>
      <c r="D175" s="7">
        <v>80</v>
      </c>
      <c r="E175" s="8">
        <v>389.71</v>
      </c>
      <c r="F175" s="8">
        <v>0</v>
      </c>
      <c r="G175" s="8">
        <v>2482.71</v>
      </c>
      <c r="H175" s="8">
        <v>395.41</v>
      </c>
      <c r="I175" s="8">
        <v>2878.12</v>
      </c>
      <c r="J175" s="7" t="s">
        <v>14</v>
      </c>
    </row>
    <row r="176" spans="1:10" x14ac:dyDescent="0.3">
      <c r="A176" s="10">
        <v>43581</v>
      </c>
      <c r="B176" t="s">
        <v>23</v>
      </c>
      <c r="C176" s="8">
        <v>2024</v>
      </c>
      <c r="D176" s="7">
        <v>80</v>
      </c>
      <c r="E176" s="8">
        <v>372.53</v>
      </c>
      <c r="F176" s="8">
        <v>0</v>
      </c>
      <c r="G176" s="8">
        <v>2396.5300000000002</v>
      </c>
      <c r="H176" s="8">
        <v>383.16</v>
      </c>
      <c r="I176" s="8">
        <v>2779.69</v>
      </c>
      <c r="J176" s="7" t="s">
        <v>14</v>
      </c>
    </row>
    <row r="177" spans="1:10" x14ac:dyDescent="0.3">
      <c r="A177" s="10">
        <v>43595</v>
      </c>
      <c r="B177" t="s">
        <v>23</v>
      </c>
      <c r="C177" s="8">
        <v>2024</v>
      </c>
      <c r="D177" s="7">
        <v>80</v>
      </c>
      <c r="E177" s="8">
        <v>372.55</v>
      </c>
      <c r="F177" s="8">
        <v>0</v>
      </c>
      <c r="G177" s="8">
        <v>2396.5500000000002</v>
      </c>
      <c r="H177" s="8">
        <v>383.19</v>
      </c>
      <c r="I177" s="8">
        <v>2779.74</v>
      </c>
      <c r="J177" s="7">
        <v>100175</v>
      </c>
    </row>
    <row r="178" spans="1:10" x14ac:dyDescent="0.3">
      <c r="A178" s="10">
        <v>43609</v>
      </c>
      <c r="B178" t="s">
        <v>23</v>
      </c>
      <c r="C178" s="8">
        <v>828</v>
      </c>
      <c r="D178" s="7">
        <v>36</v>
      </c>
      <c r="E178" s="8">
        <v>91.82</v>
      </c>
      <c r="F178" s="8">
        <v>0</v>
      </c>
      <c r="G178" s="8">
        <v>919.82</v>
      </c>
      <c r="H178" s="8">
        <v>157.69</v>
      </c>
      <c r="I178" s="8">
        <v>1077.51</v>
      </c>
      <c r="J178" s="7" t="s">
        <v>14</v>
      </c>
    </row>
    <row r="179" spans="1:10" x14ac:dyDescent="0.3">
      <c r="A179" s="10">
        <v>43623</v>
      </c>
      <c r="B179" t="s">
        <v>23</v>
      </c>
      <c r="C179" s="8">
        <v>2058</v>
      </c>
      <c r="D179" s="7">
        <v>80</v>
      </c>
      <c r="E179" s="8">
        <v>381.01</v>
      </c>
      <c r="F179" s="8">
        <v>0</v>
      </c>
      <c r="G179" s="8">
        <v>2439.0100000000002</v>
      </c>
      <c r="H179" s="8">
        <v>387.13</v>
      </c>
      <c r="I179" s="8">
        <v>2826.14</v>
      </c>
      <c r="J179" s="7" t="s">
        <v>14</v>
      </c>
    </row>
    <row r="180" spans="1:10" x14ac:dyDescent="0.3">
      <c r="A180" s="10">
        <v>43637</v>
      </c>
      <c r="B180" t="s">
        <v>23</v>
      </c>
      <c r="C180" s="8">
        <v>2587</v>
      </c>
      <c r="D180" s="7">
        <v>80</v>
      </c>
      <c r="E180" s="8">
        <v>415.65</v>
      </c>
      <c r="F180" s="8">
        <v>0</v>
      </c>
      <c r="G180" s="8">
        <v>3002.65</v>
      </c>
      <c r="H180" s="8">
        <v>439.48</v>
      </c>
      <c r="I180" s="8">
        <v>3442.13</v>
      </c>
      <c r="J180" s="7" t="s">
        <v>14</v>
      </c>
    </row>
    <row r="181" spans="1:10" x14ac:dyDescent="0.3">
      <c r="A181" s="10">
        <v>43651</v>
      </c>
      <c r="B181" t="s">
        <v>23</v>
      </c>
      <c r="C181" s="8">
        <v>1288</v>
      </c>
      <c r="D181" s="7">
        <v>56</v>
      </c>
      <c r="E181" s="8">
        <v>142.81</v>
      </c>
      <c r="F181" s="8">
        <v>0</v>
      </c>
      <c r="G181" s="8">
        <v>1430.81</v>
      </c>
      <c r="H181" s="8">
        <v>245.3</v>
      </c>
      <c r="I181" s="8">
        <v>1676.11</v>
      </c>
      <c r="J181" s="7" t="s">
        <v>14</v>
      </c>
    </row>
    <row r="182" spans="1:10" x14ac:dyDescent="0.3">
      <c r="A182" s="10">
        <v>43665</v>
      </c>
      <c r="B182" t="s">
        <v>23</v>
      </c>
      <c r="C182" s="8">
        <v>943</v>
      </c>
      <c r="D182" s="7">
        <v>41</v>
      </c>
      <c r="E182" s="8">
        <v>104.57</v>
      </c>
      <c r="F182" s="8">
        <v>0</v>
      </c>
      <c r="G182" s="8">
        <v>1047.57</v>
      </c>
      <c r="H182" s="8">
        <v>179.59</v>
      </c>
      <c r="I182" s="8">
        <v>1227.1600000000001</v>
      </c>
      <c r="J182" s="7" t="s">
        <v>14</v>
      </c>
    </row>
    <row r="183" spans="1:10" x14ac:dyDescent="0.3">
      <c r="A183" s="10">
        <v>43679</v>
      </c>
      <c r="B183" t="s">
        <v>23</v>
      </c>
      <c r="C183" s="8">
        <v>2196</v>
      </c>
      <c r="D183" s="7">
        <v>80</v>
      </c>
      <c r="E183" s="8">
        <v>318.47000000000003</v>
      </c>
      <c r="F183" s="8">
        <v>-0.04</v>
      </c>
      <c r="G183" s="8">
        <v>2514.4299999999998</v>
      </c>
      <c r="H183" s="8">
        <v>394.12</v>
      </c>
      <c r="I183" s="8">
        <v>2908.55</v>
      </c>
      <c r="J183" s="7" t="s">
        <v>14</v>
      </c>
    </row>
    <row r="184" spans="1:10" x14ac:dyDescent="0.3">
      <c r="A184" s="10">
        <v>43693</v>
      </c>
      <c r="B184" t="s">
        <v>23</v>
      </c>
      <c r="C184" s="8">
        <v>2449</v>
      </c>
      <c r="D184" s="7">
        <v>80</v>
      </c>
      <c r="E184" s="8">
        <v>381.36</v>
      </c>
      <c r="F184" s="8">
        <v>0</v>
      </c>
      <c r="G184" s="8">
        <v>2830.36</v>
      </c>
      <c r="H184" s="8">
        <v>423.5</v>
      </c>
      <c r="I184" s="8">
        <v>3253.86</v>
      </c>
      <c r="J184" s="7" t="s">
        <v>14</v>
      </c>
    </row>
    <row r="185" spans="1:10" x14ac:dyDescent="0.3">
      <c r="A185" s="10">
        <v>43707</v>
      </c>
      <c r="B185" t="s">
        <v>23</v>
      </c>
      <c r="C185" s="8">
        <v>2342</v>
      </c>
      <c r="D185" s="7">
        <v>80</v>
      </c>
      <c r="E185" s="8">
        <v>367.19</v>
      </c>
      <c r="F185" s="8">
        <v>50</v>
      </c>
      <c r="G185" s="8">
        <v>2759.19</v>
      </c>
      <c r="H185" s="8">
        <v>416.86</v>
      </c>
      <c r="I185" s="8">
        <v>3176.05</v>
      </c>
      <c r="J185" s="7" t="s">
        <v>14</v>
      </c>
    </row>
    <row r="186" spans="1:10" x14ac:dyDescent="0.3">
      <c r="A186" s="10">
        <v>43721</v>
      </c>
      <c r="B186" t="s">
        <v>23</v>
      </c>
      <c r="C186" s="8">
        <v>2047</v>
      </c>
      <c r="D186" s="7">
        <v>80</v>
      </c>
      <c r="E186" s="8">
        <v>285.45</v>
      </c>
      <c r="F186" s="8">
        <v>0</v>
      </c>
      <c r="G186" s="8">
        <v>2332.4499999999998</v>
      </c>
      <c r="H186" s="8">
        <v>377.23</v>
      </c>
      <c r="I186" s="8">
        <v>2709.68</v>
      </c>
      <c r="J186" s="7" t="s">
        <v>14</v>
      </c>
    </row>
    <row r="187" spans="1:10" x14ac:dyDescent="0.3">
      <c r="A187" s="10">
        <v>43735</v>
      </c>
      <c r="B187" t="s">
        <v>23</v>
      </c>
      <c r="C187" s="8">
        <v>1541</v>
      </c>
      <c r="D187" s="7">
        <v>80</v>
      </c>
      <c r="E187" s="8">
        <v>178.37</v>
      </c>
      <c r="F187" s="8">
        <v>0</v>
      </c>
      <c r="G187" s="8">
        <v>1719.37</v>
      </c>
      <c r="H187" s="8">
        <v>320.26</v>
      </c>
      <c r="I187" s="8">
        <v>2039.63</v>
      </c>
      <c r="J187" s="7" t="s">
        <v>14</v>
      </c>
    </row>
    <row r="188" spans="1:10" x14ac:dyDescent="0.3">
      <c r="A188" s="10">
        <v>43749</v>
      </c>
      <c r="B188" t="s">
        <v>23</v>
      </c>
      <c r="C188" s="8">
        <v>2576</v>
      </c>
      <c r="D188" s="7">
        <v>80</v>
      </c>
      <c r="E188" s="8">
        <v>412.91</v>
      </c>
      <c r="F188" s="8">
        <v>0</v>
      </c>
      <c r="G188" s="8">
        <v>2988.91</v>
      </c>
      <c r="H188" s="8">
        <v>438.21</v>
      </c>
      <c r="I188" s="8">
        <v>3427.12</v>
      </c>
      <c r="J188" s="7" t="s">
        <v>14</v>
      </c>
    </row>
    <row r="189" spans="1:10" x14ac:dyDescent="0.3">
      <c r="A189" s="10">
        <v>43763</v>
      </c>
      <c r="B189" t="s">
        <v>23</v>
      </c>
      <c r="C189" s="8">
        <v>1989</v>
      </c>
      <c r="D189" s="7">
        <v>80</v>
      </c>
      <c r="E189" s="8">
        <v>272.81</v>
      </c>
      <c r="F189" s="8">
        <v>0</v>
      </c>
      <c r="G189" s="8">
        <v>2261.81</v>
      </c>
      <c r="H189" s="8">
        <v>370.66</v>
      </c>
      <c r="I189" s="8">
        <v>2632.47</v>
      </c>
      <c r="J189" s="7" t="s">
        <v>14</v>
      </c>
    </row>
    <row r="190" spans="1:10" x14ac:dyDescent="0.3">
      <c r="A190" s="10">
        <v>43777</v>
      </c>
      <c r="B190" t="s">
        <v>23</v>
      </c>
      <c r="C190" s="8">
        <v>2323</v>
      </c>
      <c r="D190" s="7">
        <v>80</v>
      </c>
      <c r="E190" s="8">
        <v>350.04</v>
      </c>
      <c r="F190" s="8">
        <v>0</v>
      </c>
      <c r="G190" s="8">
        <v>2673.04</v>
      </c>
      <c r="H190" s="8">
        <v>408.86</v>
      </c>
      <c r="I190" s="8">
        <v>3081.9</v>
      </c>
      <c r="J190" s="7" t="s">
        <v>14</v>
      </c>
    </row>
    <row r="191" spans="1:10" x14ac:dyDescent="0.3">
      <c r="A191" s="10">
        <v>43791</v>
      </c>
      <c r="B191" t="s">
        <v>23</v>
      </c>
      <c r="C191" s="8">
        <v>2492</v>
      </c>
      <c r="D191" s="7">
        <v>80</v>
      </c>
      <c r="E191" s="8">
        <v>392.03</v>
      </c>
      <c r="F191" s="8">
        <v>0</v>
      </c>
      <c r="G191" s="8">
        <v>2884.03</v>
      </c>
      <c r="H191" s="8">
        <v>403.56</v>
      </c>
      <c r="I191" s="8">
        <v>3287.59</v>
      </c>
      <c r="J191" s="7" t="s">
        <v>14</v>
      </c>
    </row>
    <row r="192" spans="1:10" x14ac:dyDescent="0.3">
      <c r="A192" s="10">
        <v>43805</v>
      </c>
      <c r="B192" t="s">
        <v>23</v>
      </c>
      <c r="C192" s="8">
        <v>1848</v>
      </c>
      <c r="D192" s="7">
        <v>80</v>
      </c>
      <c r="E192" s="8">
        <v>242.07</v>
      </c>
      <c r="F192" s="8">
        <v>0</v>
      </c>
      <c r="G192" s="8">
        <v>2090.0700000000002</v>
      </c>
      <c r="H192" s="8">
        <v>320.44</v>
      </c>
      <c r="I192" s="8">
        <v>2410.5100000000002</v>
      </c>
      <c r="J192" s="7" t="s">
        <v>14</v>
      </c>
    </row>
    <row r="193" spans="1:10" x14ac:dyDescent="0.3">
      <c r="A193" s="10">
        <v>43816</v>
      </c>
      <c r="B193" t="s">
        <v>23</v>
      </c>
      <c r="C193" s="8">
        <v>2364</v>
      </c>
      <c r="D193" s="7">
        <v>80</v>
      </c>
      <c r="E193" s="8">
        <v>360.22</v>
      </c>
      <c r="F193" s="8">
        <v>0</v>
      </c>
      <c r="G193" s="8">
        <v>2724.22</v>
      </c>
      <c r="H193" s="8">
        <v>368.94</v>
      </c>
      <c r="I193" s="8">
        <v>3093.16</v>
      </c>
      <c r="J193" s="7">
        <v>100192</v>
      </c>
    </row>
    <row r="194" spans="1:10" x14ac:dyDescent="0.3">
      <c r="A194" s="10">
        <v>43833</v>
      </c>
      <c r="B194" t="s">
        <v>23</v>
      </c>
      <c r="C194" s="8">
        <v>864</v>
      </c>
      <c r="D194" s="7">
        <v>36</v>
      </c>
      <c r="E194" s="8">
        <v>94.9</v>
      </c>
      <c r="F194" s="8">
        <v>0</v>
      </c>
      <c r="G194" s="8">
        <v>958.9</v>
      </c>
      <c r="H194" s="8">
        <v>167.06</v>
      </c>
      <c r="I194" s="8">
        <v>1125.96</v>
      </c>
      <c r="J194" s="7" t="s">
        <v>14</v>
      </c>
    </row>
    <row r="195" spans="1:10" x14ac:dyDescent="0.3">
      <c r="A195" s="10">
        <v>43847</v>
      </c>
      <c r="B195" t="s">
        <v>23</v>
      </c>
      <c r="C195" s="8">
        <v>1500</v>
      </c>
      <c r="D195" s="7">
        <v>0</v>
      </c>
      <c r="E195" s="8">
        <v>118.55</v>
      </c>
      <c r="F195" s="8">
        <v>0</v>
      </c>
      <c r="G195" s="8">
        <v>1618.55</v>
      </c>
      <c r="H195" s="8">
        <v>148.35</v>
      </c>
      <c r="I195" s="8">
        <v>1766.9</v>
      </c>
      <c r="J195" s="7" t="s">
        <v>14</v>
      </c>
    </row>
    <row r="196" spans="1:10" x14ac:dyDescent="0.3">
      <c r="A196" s="10">
        <v>43861</v>
      </c>
      <c r="B196" t="s">
        <v>23</v>
      </c>
      <c r="C196" s="8">
        <v>0</v>
      </c>
      <c r="D196" s="7">
        <v>0</v>
      </c>
      <c r="E196" s="8">
        <v>0</v>
      </c>
      <c r="F196" s="8">
        <v>0</v>
      </c>
      <c r="G196" s="8">
        <v>0</v>
      </c>
      <c r="H196" s="8">
        <v>-82.56</v>
      </c>
      <c r="I196" s="8">
        <v>-82.56</v>
      </c>
    </row>
    <row r="197" spans="1:10" x14ac:dyDescent="0.3">
      <c r="A197" s="10">
        <v>43861</v>
      </c>
      <c r="B197" t="s">
        <v>23</v>
      </c>
      <c r="C197" s="8">
        <v>2412</v>
      </c>
      <c r="D197" s="7">
        <v>80</v>
      </c>
      <c r="E197" s="8">
        <v>298.38</v>
      </c>
      <c r="F197" s="8">
        <v>12</v>
      </c>
      <c r="G197" s="8">
        <v>2722.38</v>
      </c>
      <c r="H197" s="8">
        <v>400.28</v>
      </c>
      <c r="I197" s="8">
        <v>3122.66</v>
      </c>
      <c r="J197" s="7" t="s">
        <v>14</v>
      </c>
    </row>
    <row r="198" spans="1:10" x14ac:dyDescent="0.3">
      <c r="A198" s="10">
        <v>43875</v>
      </c>
      <c r="B198" t="s">
        <v>23</v>
      </c>
      <c r="C198" s="8">
        <v>1717</v>
      </c>
      <c r="D198" s="7">
        <v>73</v>
      </c>
      <c r="E198" s="8">
        <v>169.19</v>
      </c>
      <c r="F198" s="8">
        <v>35</v>
      </c>
      <c r="G198" s="8">
        <v>1921.19</v>
      </c>
      <c r="H198" s="8">
        <v>275.86</v>
      </c>
      <c r="I198" s="8">
        <v>2197.0500000000002</v>
      </c>
      <c r="J198" s="7" t="s">
        <v>14</v>
      </c>
    </row>
    <row r="199" spans="1:10" x14ac:dyDescent="0.3">
      <c r="A199" s="10">
        <v>43889</v>
      </c>
      <c r="B199" t="s">
        <v>23</v>
      </c>
      <c r="C199" s="8">
        <v>2616</v>
      </c>
      <c r="D199" s="7">
        <v>80</v>
      </c>
      <c r="E199" s="8">
        <v>325.45999999999998</v>
      </c>
      <c r="F199" s="8">
        <v>0</v>
      </c>
      <c r="G199" s="8">
        <v>2941.46</v>
      </c>
      <c r="H199" s="8">
        <v>357.63</v>
      </c>
      <c r="I199" s="8">
        <v>3299.09</v>
      </c>
      <c r="J199" s="7" t="s">
        <v>14</v>
      </c>
    </row>
    <row r="200" spans="1:10" x14ac:dyDescent="0.3">
      <c r="A200" s="10">
        <v>43903</v>
      </c>
      <c r="B200" t="s">
        <v>23</v>
      </c>
      <c r="C200" s="8">
        <v>2436</v>
      </c>
      <c r="D200" s="7">
        <v>80</v>
      </c>
      <c r="E200" s="8">
        <v>291.7</v>
      </c>
      <c r="F200" s="8">
        <v>0</v>
      </c>
      <c r="G200" s="8">
        <v>2727.7</v>
      </c>
      <c r="H200" s="8">
        <v>338.73</v>
      </c>
      <c r="I200" s="8">
        <v>3066.43</v>
      </c>
      <c r="J200" s="7" t="s">
        <v>14</v>
      </c>
    </row>
    <row r="201" spans="1:10" x14ac:dyDescent="0.3">
      <c r="A201" s="10">
        <v>43917</v>
      </c>
      <c r="B201" t="s">
        <v>23</v>
      </c>
      <c r="C201" s="8">
        <v>1751.15</v>
      </c>
      <c r="D201" s="7">
        <v>71</v>
      </c>
      <c r="E201" s="8">
        <v>201.35</v>
      </c>
      <c r="F201" s="8">
        <v>0</v>
      </c>
      <c r="G201" s="8">
        <v>1952.5</v>
      </c>
      <c r="H201" s="8">
        <v>281.14999999999998</v>
      </c>
      <c r="I201" s="8">
        <v>2233.65</v>
      </c>
      <c r="J201" s="7" t="s">
        <v>14</v>
      </c>
    </row>
    <row r="202" spans="1:10" x14ac:dyDescent="0.3">
      <c r="A202" s="10">
        <v>43917</v>
      </c>
      <c r="B202" t="s">
        <v>23</v>
      </c>
      <c r="C202" s="8">
        <v>0</v>
      </c>
      <c r="D202" s="7">
        <v>0</v>
      </c>
      <c r="E202" s="8">
        <v>0</v>
      </c>
      <c r="F202" s="8">
        <v>0</v>
      </c>
      <c r="G202" s="8">
        <v>0</v>
      </c>
      <c r="H202" s="8">
        <v>176.78</v>
      </c>
      <c r="I202" s="8">
        <v>176.78</v>
      </c>
    </row>
    <row r="203" spans="1:10" x14ac:dyDescent="0.3">
      <c r="A203" s="10">
        <v>43917</v>
      </c>
      <c r="B203" t="s">
        <v>23</v>
      </c>
      <c r="C203" s="8">
        <v>0</v>
      </c>
      <c r="D203" s="7">
        <v>0</v>
      </c>
      <c r="E203" s="8">
        <v>0</v>
      </c>
      <c r="F203" s="8">
        <v>0</v>
      </c>
      <c r="G203" s="8">
        <v>0</v>
      </c>
      <c r="H203" s="8">
        <v>-207.32</v>
      </c>
      <c r="I203" s="8">
        <v>-207.32</v>
      </c>
    </row>
    <row r="204" spans="1:10" x14ac:dyDescent="0.3">
      <c r="A204" s="10">
        <v>43917</v>
      </c>
      <c r="B204" t="s">
        <v>23</v>
      </c>
      <c r="C204" s="8">
        <v>0</v>
      </c>
      <c r="D204" s="7">
        <v>0</v>
      </c>
      <c r="E204" s="8">
        <v>0</v>
      </c>
      <c r="F204" s="8">
        <v>0</v>
      </c>
      <c r="G204" s="8">
        <v>0</v>
      </c>
      <c r="H204" s="8">
        <v>1.37</v>
      </c>
      <c r="I204" s="8">
        <v>1.37</v>
      </c>
    </row>
    <row r="205" spans="1:10" x14ac:dyDescent="0.3">
      <c r="A205" s="21" t="s">
        <v>15</v>
      </c>
      <c r="B205" s="22" t="str">
        <f>+B204</f>
        <v>*Cristian Navejas</v>
      </c>
      <c r="C205" s="23">
        <f>SUM(C159:C204)</f>
        <v>66675.149999999994</v>
      </c>
      <c r="D205" s="23">
        <f t="shared" ref="D205:I205" si="7">SUM(D159:D204)</f>
        <v>2395</v>
      </c>
      <c r="E205" s="23">
        <f t="shared" si="7"/>
        <v>9854.4399999999969</v>
      </c>
      <c r="F205" s="23">
        <f t="shared" si="7"/>
        <v>1047</v>
      </c>
      <c r="G205" s="23">
        <f t="shared" si="7"/>
        <v>77576.59</v>
      </c>
      <c r="H205" s="23">
        <f t="shared" si="7"/>
        <v>11637.580000000004</v>
      </c>
      <c r="I205" s="23">
        <f t="shared" si="7"/>
        <v>89214.169999999984</v>
      </c>
      <c r="J205" s="24"/>
    </row>
    <row r="206" spans="1:10" x14ac:dyDescent="0.3">
      <c r="A206" s="10">
        <v>43427</v>
      </c>
      <c r="B206" t="s">
        <v>24</v>
      </c>
      <c r="C206" s="8">
        <v>1768</v>
      </c>
      <c r="D206" s="7">
        <v>80</v>
      </c>
      <c r="E206" s="8">
        <v>192.47</v>
      </c>
      <c r="F206" s="8">
        <v>0</v>
      </c>
      <c r="G206" s="8">
        <v>1960.47</v>
      </c>
      <c r="H206" s="8">
        <v>357.76</v>
      </c>
      <c r="I206" s="8">
        <v>2318.23</v>
      </c>
      <c r="J206" s="7" t="s">
        <v>14</v>
      </c>
    </row>
    <row r="207" spans="1:10" x14ac:dyDescent="0.3">
      <c r="A207" s="10">
        <v>43441</v>
      </c>
      <c r="B207" t="s">
        <v>24</v>
      </c>
      <c r="C207" s="8">
        <v>1302</v>
      </c>
      <c r="D207" s="7">
        <v>69</v>
      </c>
      <c r="E207" s="8">
        <v>253.79</v>
      </c>
      <c r="F207" s="8">
        <v>285</v>
      </c>
      <c r="G207" s="8">
        <v>1840.79</v>
      </c>
      <c r="H207" s="8">
        <v>323.64999999999998</v>
      </c>
      <c r="I207" s="8">
        <v>2164.44</v>
      </c>
      <c r="J207" s="7" t="s">
        <v>14</v>
      </c>
    </row>
    <row r="208" spans="1:10" x14ac:dyDescent="0.3">
      <c r="A208" s="10">
        <v>43455</v>
      </c>
      <c r="B208" t="s">
        <v>24</v>
      </c>
      <c r="C208" s="8">
        <v>1542</v>
      </c>
      <c r="D208" s="7">
        <v>80</v>
      </c>
      <c r="E208" s="8">
        <v>250.61</v>
      </c>
      <c r="F208" s="8">
        <v>0</v>
      </c>
      <c r="G208" s="8">
        <v>1792.61</v>
      </c>
      <c r="H208" s="8">
        <v>340.87</v>
      </c>
      <c r="I208" s="8">
        <v>2133.48</v>
      </c>
      <c r="J208" s="7" t="s">
        <v>14</v>
      </c>
    </row>
    <row r="209" spans="1:10" x14ac:dyDescent="0.3">
      <c r="A209" s="10">
        <v>43469</v>
      </c>
      <c r="B209" t="s">
        <v>24</v>
      </c>
      <c r="C209" s="8">
        <v>0</v>
      </c>
      <c r="D209" s="7">
        <v>0</v>
      </c>
      <c r="E209" s="8">
        <v>0</v>
      </c>
      <c r="F209" s="8">
        <v>0</v>
      </c>
      <c r="G209" s="8">
        <v>0</v>
      </c>
      <c r="H209" s="8">
        <v>0</v>
      </c>
      <c r="I209" s="8">
        <v>0</v>
      </c>
    </row>
    <row r="210" spans="1:10" x14ac:dyDescent="0.3">
      <c r="A210" s="10">
        <v>43469</v>
      </c>
      <c r="B210" t="s">
        <v>24</v>
      </c>
      <c r="C210" s="8">
        <v>0</v>
      </c>
      <c r="D210" s="7">
        <v>0</v>
      </c>
      <c r="E210" s="8">
        <v>0</v>
      </c>
      <c r="F210" s="8">
        <v>0</v>
      </c>
      <c r="G210" s="8">
        <v>0</v>
      </c>
      <c r="H210" s="8">
        <v>-0.22</v>
      </c>
      <c r="I210" s="8">
        <v>-0.22</v>
      </c>
    </row>
    <row r="211" spans="1:10" x14ac:dyDescent="0.3">
      <c r="A211" s="10">
        <v>43469</v>
      </c>
      <c r="B211" t="s">
        <v>24</v>
      </c>
      <c r="C211" s="8">
        <v>115</v>
      </c>
      <c r="D211" s="7">
        <v>5</v>
      </c>
      <c r="E211" s="8">
        <v>12.75</v>
      </c>
      <c r="F211" s="8">
        <v>0</v>
      </c>
      <c r="G211" s="8">
        <v>127.75</v>
      </c>
      <c r="H211" s="8">
        <v>22.89</v>
      </c>
      <c r="I211" s="8">
        <v>150.63999999999999</v>
      </c>
      <c r="J211" s="7" t="s">
        <v>14</v>
      </c>
    </row>
    <row r="212" spans="1:10" x14ac:dyDescent="0.3">
      <c r="A212" s="21" t="s">
        <v>15</v>
      </c>
      <c r="B212" s="22" t="str">
        <f>+B211</f>
        <v>*David Giron</v>
      </c>
      <c r="C212" s="23">
        <f>SUM(C206:C211)</f>
        <v>4727</v>
      </c>
      <c r="D212" s="23">
        <f t="shared" ref="D212:I212" si="8">SUM(D206:D211)</f>
        <v>234</v>
      </c>
      <c r="E212" s="23">
        <f t="shared" si="8"/>
        <v>709.62</v>
      </c>
      <c r="F212" s="23">
        <f t="shared" si="8"/>
        <v>285</v>
      </c>
      <c r="G212" s="23">
        <f t="shared" si="8"/>
        <v>5721.62</v>
      </c>
      <c r="H212" s="23">
        <f t="shared" si="8"/>
        <v>1044.95</v>
      </c>
      <c r="I212" s="23">
        <f t="shared" si="8"/>
        <v>6766.57</v>
      </c>
      <c r="J212" s="24"/>
    </row>
    <row r="213" spans="1:10" x14ac:dyDescent="0.3">
      <c r="A213" s="10">
        <v>43819</v>
      </c>
      <c r="B213" t="s">
        <v>25</v>
      </c>
      <c r="C213" s="8">
        <v>1593</v>
      </c>
      <c r="D213" s="7">
        <v>80</v>
      </c>
      <c r="E213" s="8">
        <v>224.07</v>
      </c>
      <c r="F213" s="8">
        <v>0</v>
      </c>
      <c r="G213" s="8">
        <v>1817.07</v>
      </c>
      <c r="H213" s="8">
        <v>340.25</v>
      </c>
      <c r="I213" s="8">
        <v>2157.3200000000002</v>
      </c>
      <c r="J213" s="7" t="s">
        <v>14</v>
      </c>
    </row>
    <row r="214" spans="1:10" x14ac:dyDescent="0.3">
      <c r="A214" s="10">
        <v>43833</v>
      </c>
      <c r="B214" t="s">
        <v>25</v>
      </c>
      <c r="C214" s="8">
        <v>2377</v>
      </c>
      <c r="D214" s="7">
        <v>80</v>
      </c>
      <c r="E214" s="8">
        <v>414.1</v>
      </c>
      <c r="F214" s="8">
        <v>0</v>
      </c>
      <c r="G214" s="8">
        <v>2791.1</v>
      </c>
      <c r="H214" s="8">
        <v>436.59</v>
      </c>
      <c r="I214" s="8">
        <v>3227.69</v>
      </c>
      <c r="J214" s="7" t="s">
        <v>14</v>
      </c>
    </row>
    <row r="215" spans="1:10" x14ac:dyDescent="0.3">
      <c r="A215" s="10">
        <v>43847</v>
      </c>
      <c r="B215" t="s">
        <v>25</v>
      </c>
      <c r="C215" s="8">
        <v>1510</v>
      </c>
      <c r="D215" s="7">
        <v>80</v>
      </c>
      <c r="E215" s="8">
        <v>165.91</v>
      </c>
      <c r="F215" s="8">
        <v>0</v>
      </c>
      <c r="G215" s="8">
        <v>1675.91</v>
      </c>
      <c r="H215" s="8">
        <v>309.88</v>
      </c>
      <c r="I215" s="8">
        <v>1985.79</v>
      </c>
      <c r="J215" s="7" t="s">
        <v>14</v>
      </c>
    </row>
    <row r="216" spans="1:10" x14ac:dyDescent="0.3">
      <c r="A216" s="10">
        <v>43861</v>
      </c>
      <c r="B216" t="s">
        <v>25</v>
      </c>
      <c r="C216" s="8">
        <v>0</v>
      </c>
      <c r="D216" s="7">
        <v>0</v>
      </c>
      <c r="E216" s="8">
        <v>0</v>
      </c>
      <c r="F216" s="8">
        <v>0</v>
      </c>
      <c r="G216" s="8">
        <v>0</v>
      </c>
      <c r="H216" s="8">
        <v>-170.82</v>
      </c>
      <c r="I216" s="8">
        <v>-170.82</v>
      </c>
    </row>
    <row r="217" spans="1:10" x14ac:dyDescent="0.3">
      <c r="A217" s="10">
        <v>43861</v>
      </c>
      <c r="B217" t="s">
        <v>25</v>
      </c>
      <c r="C217" s="8">
        <v>2228</v>
      </c>
      <c r="D217" s="7">
        <v>80</v>
      </c>
      <c r="E217" s="8">
        <v>304.42</v>
      </c>
      <c r="F217" s="8">
        <v>12</v>
      </c>
      <c r="G217" s="8">
        <v>2544.42</v>
      </c>
      <c r="H217" s="8">
        <v>382.08</v>
      </c>
      <c r="I217" s="8">
        <v>2926.5</v>
      </c>
      <c r="J217" s="7" t="s">
        <v>14</v>
      </c>
    </row>
    <row r="218" spans="1:10" x14ac:dyDescent="0.3">
      <c r="A218" s="10">
        <v>43875</v>
      </c>
      <c r="B218" t="s">
        <v>25</v>
      </c>
      <c r="C218" s="8">
        <v>1905</v>
      </c>
      <c r="D218" s="7">
        <v>80</v>
      </c>
      <c r="E218" s="8">
        <v>235.89</v>
      </c>
      <c r="F218" s="8">
        <v>35</v>
      </c>
      <c r="G218" s="8">
        <v>2175.89</v>
      </c>
      <c r="H218" s="8">
        <v>295.39</v>
      </c>
      <c r="I218" s="8">
        <v>2471.2800000000002</v>
      </c>
      <c r="J218" s="7" t="s">
        <v>14</v>
      </c>
    </row>
    <row r="219" spans="1:10" x14ac:dyDescent="0.3">
      <c r="A219" s="10">
        <v>43889</v>
      </c>
      <c r="B219" t="s">
        <v>25</v>
      </c>
      <c r="C219" s="8">
        <v>2100</v>
      </c>
      <c r="D219" s="7">
        <v>80</v>
      </c>
      <c r="E219" s="8">
        <v>267.73</v>
      </c>
      <c r="F219" s="8">
        <v>0</v>
      </c>
      <c r="G219" s="8">
        <v>2367.73</v>
      </c>
      <c r="H219" s="8">
        <v>307.51</v>
      </c>
      <c r="I219" s="8">
        <v>2675.24</v>
      </c>
      <c r="J219" s="7">
        <v>100196</v>
      </c>
    </row>
    <row r="220" spans="1:10" x14ac:dyDescent="0.3">
      <c r="A220" s="10">
        <v>43889</v>
      </c>
      <c r="B220" t="s">
        <v>25</v>
      </c>
      <c r="C220" s="8">
        <v>0</v>
      </c>
      <c r="D220" s="7">
        <v>0</v>
      </c>
      <c r="E220" s="8">
        <v>0</v>
      </c>
      <c r="F220" s="8">
        <v>0</v>
      </c>
      <c r="G220" s="8">
        <v>0</v>
      </c>
      <c r="H220" s="8">
        <v>-160.83000000000001</v>
      </c>
      <c r="I220" s="8">
        <v>-160.83000000000001</v>
      </c>
    </row>
    <row r="221" spans="1:10" x14ac:dyDescent="0.3">
      <c r="A221" s="10">
        <v>43889</v>
      </c>
      <c r="B221" t="s">
        <v>25</v>
      </c>
      <c r="C221" s="8">
        <v>0</v>
      </c>
      <c r="D221" s="7">
        <v>0</v>
      </c>
      <c r="E221" s="8">
        <v>0</v>
      </c>
      <c r="F221" s="8">
        <v>0</v>
      </c>
      <c r="G221" s="8">
        <v>0</v>
      </c>
      <c r="H221" s="8">
        <v>1.05</v>
      </c>
      <c r="I221" s="8">
        <v>1.05</v>
      </c>
    </row>
    <row r="222" spans="1:10" x14ac:dyDescent="0.3">
      <c r="A222" s="10">
        <v>43889</v>
      </c>
      <c r="B222" t="s">
        <v>25</v>
      </c>
      <c r="C222" s="8">
        <v>0</v>
      </c>
      <c r="D222" s="7">
        <v>0</v>
      </c>
      <c r="E222" s="8">
        <v>0</v>
      </c>
      <c r="F222" s="8">
        <v>0</v>
      </c>
      <c r="G222" s="8">
        <v>0</v>
      </c>
      <c r="H222" s="8">
        <v>168.36</v>
      </c>
      <c r="I222" s="8">
        <v>168.36</v>
      </c>
    </row>
    <row r="223" spans="1:10" x14ac:dyDescent="0.3">
      <c r="A223" s="21" t="s">
        <v>15</v>
      </c>
      <c r="B223" s="22" t="str">
        <f>+B222</f>
        <v>*David M. San Roman Mendo</v>
      </c>
      <c r="C223" s="23">
        <f t="shared" ref="C223:I223" si="9">SUM(C213:C222)</f>
        <v>11713</v>
      </c>
      <c r="D223" s="23">
        <f t="shared" si="9"/>
        <v>480</v>
      </c>
      <c r="E223" s="23">
        <f t="shared" si="9"/>
        <v>1612.12</v>
      </c>
      <c r="F223" s="23">
        <f t="shared" si="9"/>
        <v>47</v>
      </c>
      <c r="G223" s="23">
        <f t="shared" si="9"/>
        <v>13372.119999999999</v>
      </c>
      <c r="H223" s="23">
        <f t="shared" si="9"/>
        <v>1909.46</v>
      </c>
      <c r="I223" s="23">
        <f t="shared" si="9"/>
        <v>15281.58</v>
      </c>
      <c r="J223" s="24"/>
    </row>
    <row r="224" spans="1:10" x14ac:dyDescent="0.3">
      <c r="A224" s="10">
        <v>43861</v>
      </c>
      <c r="B224" t="s">
        <v>26</v>
      </c>
      <c r="C224" s="8">
        <v>2500</v>
      </c>
      <c r="D224" s="7">
        <v>60</v>
      </c>
      <c r="E224" s="8">
        <v>512.6</v>
      </c>
      <c r="F224" s="8">
        <v>0</v>
      </c>
      <c r="G224" s="8">
        <v>3012.6</v>
      </c>
      <c r="H224" s="8">
        <v>367.65</v>
      </c>
      <c r="I224" s="8">
        <v>3380.25</v>
      </c>
      <c r="J224" s="7" t="s">
        <v>14</v>
      </c>
    </row>
    <row r="225" spans="1:10" x14ac:dyDescent="0.3">
      <c r="A225" s="10">
        <v>43861</v>
      </c>
      <c r="B225" t="s">
        <v>26</v>
      </c>
      <c r="C225" s="8">
        <v>0</v>
      </c>
      <c r="D225" s="7">
        <v>0</v>
      </c>
      <c r="E225" s="8">
        <v>0</v>
      </c>
      <c r="F225" s="8">
        <v>0</v>
      </c>
      <c r="G225" s="8">
        <v>0</v>
      </c>
      <c r="H225" s="8">
        <v>-42.7</v>
      </c>
      <c r="I225" s="8">
        <v>-42.7</v>
      </c>
    </row>
    <row r="226" spans="1:10" x14ac:dyDescent="0.3">
      <c r="A226" s="10">
        <v>43875</v>
      </c>
      <c r="B226" t="s">
        <v>26</v>
      </c>
      <c r="C226" s="8">
        <v>1069</v>
      </c>
      <c r="D226" s="7">
        <v>70.5</v>
      </c>
      <c r="E226" s="8">
        <v>217.41</v>
      </c>
      <c r="F226" s="8">
        <v>200</v>
      </c>
      <c r="G226" s="8">
        <v>1486.41</v>
      </c>
      <c r="H226" s="8">
        <v>224.57</v>
      </c>
      <c r="I226" s="8">
        <v>1710.98</v>
      </c>
      <c r="J226" s="7" t="s">
        <v>14</v>
      </c>
    </row>
    <row r="227" spans="1:10" x14ac:dyDescent="0.3">
      <c r="A227" s="10">
        <v>43875</v>
      </c>
      <c r="B227" t="s">
        <v>26</v>
      </c>
      <c r="C227" s="8">
        <v>0</v>
      </c>
      <c r="D227" s="7">
        <v>0</v>
      </c>
      <c r="E227" s="8">
        <v>0</v>
      </c>
      <c r="F227" s="8">
        <v>0</v>
      </c>
      <c r="G227" s="8">
        <v>0</v>
      </c>
      <c r="H227" s="8">
        <v>-57.29</v>
      </c>
      <c r="I227" s="8">
        <v>-57.29</v>
      </c>
    </row>
    <row r="228" spans="1:10" x14ac:dyDescent="0.3">
      <c r="A228" s="10">
        <v>43875</v>
      </c>
      <c r="B228" t="s">
        <v>26</v>
      </c>
      <c r="C228" s="8">
        <v>0</v>
      </c>
      <c r="D228" s="7">
        <v>0</v>
      </c>
      <c r="E228" s="8">
        <v>0</v>
      </c>
      <c r="F228" s="8">
        <v>0</v>
      </c>
      <c r="G228" s="8">
        <v>0</v>
      </c>
      <c r="H228" s="8">
        <v>0.38</v>
      </c>
      <c r="I228" s="8">
        <v>0.38</v>
      </c>
    </row>
    <row r="229" spans="1:10" x14ac:dyDescent="0.3">
      <c r="A229" s="10">
        <v>43875</v>
      </c>
      <c r="B229" t="s">
        <v>26</v>
      </c>
      <c r="C229" s="8">
        <v>0</v>
      </c>
      <c r="D229" s="7">
        <v>0</v>
      </c>
      <c r="E229" s="8">
        <v>0</v>
      </c>
      <c r="F229" s="8">
        <v>0</v>
      </c>
      <c r="G229" s="8">
        <v>0</v>
      </c>
      <c r="H229" s="8">
        <v>54.93</v>
      </c>
      <c r="I229" s="8">
        <v>54.93</v>
      </c>
    </row>
    <row r="230" spans="1:10" x14ac:dyDescent="0.3">
      <c r="A230" s="21" t="s">
        <v>15</v>
      </c>
      <c r="B230" s="22" t="str">
        <f>+B229</f>
        <v>*Diego F. Rojas Villaseca</v>
      </c>
      <c r="C230" s="23">
        <f t="shared" ref="C230:I230" si="10">SUM(C224:C229)</f>
        <v>3569</v>
      </c>
      <c r="D230" s="23">
        <f t="shared" si="10"/>
        <v>130.5</v>
      </c>
      <c r="E230" s="23">
        <f t="shared" si="10"/>
        <v>730.01</v>
      </c>
      <c r="F230" s="23">
        <f t="shared" si="10"/>
        <v>200</v>
      </c>
      <c r="G230" s="23">
        <f t="shared" si="10"/>
        <v>4499.01</v>
      </c>
      <c r="H230" s="23">
        <f t="shared" si="10"/>
        <v>547.54</v>
      </c>
      <c r="I230" s="23">
        <f t="shared" si="10"/>
        <v>5046.5500000000011</v>
      </c>
      <c r="J230" s="24"/>
    </row>
    <row r="231" spans="1:10" x14ac:dyDescent="0.3">
      <c r="A231" s="10">
        <v>43133</v>
      </c>
      <c r="B231" t="s">
        <v>27</v>
      </c>
      <c r="C231" s="8">
        <v>1008.2</v>
      </c>
      <c r="D231" s="7">
        <v>80</v>
      </c>
      <c r="E231" s="8">
        <v>191.8</v>
      </c>
      <c r="F231" s="8">
        <v>0</v>
      </c>
      <c r="G231" s="8">
        <v>1200</v>
      </c>
      <c r="H231" s="8">
        <v>281.26</v>
      </c>
      <c r="I231" s="8">
        <v>1481.26</v>
      </c>
    </row>
    <row r="232" spans="1:10" x14ac:dyDescent="0.3">
      <c r="A232" s="10">
        <v>43147</v>
      </c>
      <c r="B232" t="s">
        <v>27</v>
      </c>
      <c r="C232" s="8">
        <v>1008.2</v>
      </c>
      <c r="D232" s="7">
        <v>80</v>
      </c>
      <c r="E232" s="8">
        <v>191.8</v>
      </c>
      <c r="F232" s="8">
        <v>0</v>
      </c>
      <c r="G232" s="8">
        <v>1200</v>
      </c>
      <c r="H232" s="8">
        <v>281.26</v>
      </c>
      <c r="I232" s="8">
        <v>1481.26</v>
      </c>
    </row>
    <row r="233" spans="1:10" x14ac:dyDescent="0.3">
      <c r="A233" s="10">
        <v>43161</v>
      </c>
      <c r="B233" t="s">
        <v>27</v>
      </c>
      <c r="C233" s="8">
        <v>965.27</v>
      </c>
      <c r="D233" s="7">
        <v>80</v>
      </c>
      <c r="E233" s="8">
        <v>234.73</v>
      </c>
      <c r="F233" s="8">
        <v>0</v>
      </c>
      <c r="G233" s="8">
        <v>1200</v>
      </c>
      <c r="H233" s="8">
        <v>281.26</v>
      </c>
      <c r="I233" s="8">
        <v>1481.26</v>
      </c>
      <c r="J233" s="7" t="s">
        <v>14</v>
      </c>
    </row>
    <row r="234" spans="1:10" x14ac:dyDescent="0.3">
      <c r="A234" s="10">
        <v>43175</v>
      </c>
      <c r="B234" t="s">
        <v>27</v>
      </c>
      <c r="C234" s="8">
        <v>965.27</v>
      </c>
      <c r="D234" s="7">
        <v>80</v>
      </c>
      <c r="E234" s="8">
        <v>234.73</v>
      </c>
      <c r="F234" s="8">
        <v>0</v>
      </c>
      <c r="G234" s="8">
        <v>1200</v>
      </c>
      <c r="H234" s="8">
        <v>281.26</v>
      </c>
      <c r="I234" s="8">
        <v>1481.26</v>
      </c>
      <c r="J234" s="7" t="s">
        <v>14</v>
      </c>
    </row>
    <row r="235" spans="1:10" x14ac:dyDescent="0.3">
      <c r="A235" s="10">
        <v>43189</v>
      </c>
      <c r="B235" t="s">
        <v>27</v>
      </c>
      <c r="C235" s="8">
        <v>965.27</v>
      </c>
      <c r="D235" s="7">
        <v>80</v>
      </c>
      <c r="E235" s="8">
        <v>234.73</v>
      </c>
      <c r="F235" s="8">
        <v>0</v>
      </c>
      <c r="G235" s="8">
        <v>1200</v>
      </c>
      <c r="H235" s="8">
        <v>281.26</v>
      </c>
      <c r="I235" s="8">
        <v>1481.26</v>
      </c>
      <c r="J235" s="7" t="s">
        <v>14</v>
      </c>
    </row>
    <row r="236" spans="1:10" x14ac:dyDescent="0.3">
      <c r="A236" s="10">
        <v>43203</v>
      </c>
      <c r="B236" t="s">
        <v>27</v>
      </c>
      <c r="C236" s="8">
        <v>965.27</v>
      </c>
      <c r="D236" s="7">
        <v>80</v>
      </c>
      <c r="E236" s="8">
        <v>234.73</v>
      </c>
      <c r="F236" s="8">
        <v>0</v>
      </c>
      <c r="G236" s="8">
        <v>1200</v>
      </c>
      <c r="H236" s="8">
        <v>280.06</v>
      </c>
      <c r="I236" s="8">
        <v>1480.06</v>
      </c>
      <c r="J236" s="7" t="s">
        <v>14</v>
      </c>
    </row>
    <row r="237" spans="1:10" x14ac:dyDescent="0.3">
      <c r="A237" s="10">
        <v>43217</v>
      </c>
      <c r="B237" t="s">
        <v>27</v>
      </c>
      <c r="C237" s="8">
        <v>965.27</v>
      </c>
      <c r="D237" s="7">
        <v>80</v>
      </c>
      <c r="E237" s="8">
        <v>234.73</v>
      </c>
      <c r="F237" s="8">
        <v>0</v>
      </c>
      <c r="G237" s="8">
        <v>1200</v>
      </c>
      <c r="H237" s="8">
        <v>274.06</v>
      </c>
      <c r="I237" s="8">
        <v>1474.06</v>
      </c>
      <c r="J237" s="7" t="s">
        <v>14</v>
      </c>
    </row>
    <row r="238" spans="1:10" x14ac:dyDescent="0.3">
      <c r="A238" s="10">
        <v>43245</v>
      </c>
      <c r="B238" t="s">
        <v>27</v>
      </c>
      <c r="C238" s="8">
        <v>965.27</v>
      </c>
      <c r="D238" s="7">
        <v>80</v>
      </c>
      <c r="E238" s="8">
        <v>234.73</v>
      </c>
      <c r="F238" s="8">
        <v>0</v>
      </c>
      <c r="G238" s="8">
        <v>1200</v>
      </c>
      <c r="H238" s="8">
        <v>274.06</v>
      </c>
      <c r="I238" s="8">
        <v>1474.06</v>
      </c>
      <c r="J238" s="7" t="s">
        <v>14</v>
      </c>
    </row>
    <row r="239" spans="1:10" x14ac:dyDescent="0.3">
      <c r="A239" s="10">
        <v>43258</v>
      </c>
      <c r="B239" t="s">
        <v>27</v>
      </c>
      <c r="C239" s="8">
        <v>924.94</v>
      </c>
      <c r="D239" s="7">
        <v>76.5</v>
      </c>
      <c r="E239" s="8">
        <v>222.56</v>
      </c>
      <c r="F239" s="8">
        <v>0</v>
      </c>
      <c r="G239" s="8">
        <v>1147.5</v>
      </c>
      <c r="H239" s="8">
        <v>262.07</v>
      </c>
      <c r="I239" s="8">
        <v>1409.57</v>
      </c>
      <c r="J239" s="7" t="s">
        <v>14</v>
      </c>
    </row>
    <row r="240" spans="1:10" x14ac:dyDescent="0.3">
      <c r="A240" s="10">
        <v>43273</v>
      </c>
      <c r="B240" t="s">
        <v>27</v>
      </c>
      <c r="C240" s="8">
        <v>965.27</v>
      </c>
      <c r="D240" s="7">
        <v>80</v>
      </c>
      <c r="E240" s="8">
        <v>234.73</v>
      </c>
      <c r="F240" s="8">
        <v>0</v>
      </c>
      <c r="G240" s="8">
        <v>1200</v>
      </c>
      <c r="H240" s="8">
        <v>274.06</v>
      </c>
      <c r="I240" s="8">
        <v>1474.06</v>
      </c>
      <c r="J240" s="7" t="s">
        <v>14</v>
      </c>
    </row>
    <row r="241" spans="1:10" x14ac:dyDescent="0.3">
      <c r="A241" s="10">
        <v>43287</v>
      </c>
      <c r="B241" t="s">
        <v>27</v>
      </c>
      <c r="C241" s="8">
        <v>965.27</v>
      </c>
      <c r="D241" s="7">
        <v>80</v>
      </c>
      <c r="E241" s="8">
        <v>234.73</v>
      </c>
      <c r="F241" s="8">
        <v>0</v>
      </c>
      <c r="G241" s="8">
        <v>1200</v>
      </c>
      <c r="H241" s="8">
        <v>274.06</v>
      </c>
      <c r="I241" s="8">
        <v>1474.06</v>
      </c>
      <c r="J241" s="7" t="s">
        <v>14</v>
      </c>
    </row>
    <row r="242" spans="1:10" x14ac:dyDescent="0.3">
      <c r="A242" s="10">
        <v>43329</v>
      </c>
      <c r="B242" t="s">
        <v>27</v>
      </c>
      <c r="C242" s="8">
        <v>503.04</v>
      </c>
      <c r="D242" s="7">
        <v>40</v>
      </c>
      <c r="E242" s="8">
        <v>96.96</v>
      </c>
      <c r="F242" s="8">
        <v>0</v>
      </c>
      <c r="G242" s="8">
        <v>600</v>
      </c>
      <c r="H242" s="8">
        <v>137.03</v>
      </c>
      <c r="I242" s="8">
        <v>737.03</v>
      </c>
      <c r="J242" s="7" t="s">
        <v>14</v>
      </c>
    </row>
    <row r="243" spans="1:10" x14ac:dyDescent="0.3">
      <c r="A243" s="10">
        <v>43343</v>
      </c>
      <c r="B243" t="s">
        <v>27</v>
      </c>
      <c r="C243" s="8">
        <v>965.27</v>
      </c>
      <c r="D243" s="7">
        <v>80</v>
      </c>
      <c r="E243" s="8">
        <v>234.73</v>
      </c>
      <c r="F243" s="8">
        <v>0</v>
      </c>
      <c r="G243" s="8">
        <v>1200</v>
      </c>
      <c r="H243" s="8">
        <v>274.06</v>
      </c>
      <c r="I243" s="8">
        <v>1474.06</v>
      </c>
      <c r="J243" s="7" t="s">
        <v>14</v>
      </c>
    </row>
    <row r="244" spans="1:10" x14ac:dyDescent="0.3">
      <c r="A244" s="10">
        <v>43357</v>
      </c>
      <c r="B244" t="s">
        <v>27</v>
      </c>
      <c r="C244" s="8">
        <v>884.62</v>
      </c>
      <c r="D244" s="7">
        <v>73</v>
      </c>
      <c r="E244" s="8">
        <v>210.38</v>
      </c>
      <c r="F244" s="8">
        <v>0</v>
      </c>
      <c r="G244" s="8">
        <v>1095</v>
      </c>
      <c r="H244" s="8">
        <v>250.08</v>
      </c>
      <c r="I244" s="8">
        <v>1345.08</v>
      </c>
      <c r="J244" s="7" t="s">
        <v>14</v>
      </c>
    </row>
    <row r="245" spans="1:10" x14ac:dyDescent="0.3">
      <c r="A245" s="10">
        <v>43371</v>
      </c>
      <c r="B245" t="s">
        <v>27</v>
      </c>
      <c r="C245" s="8">
        <v>965.27</v>
      </c>
      <c r="D245" s="7">
        <v>80</v>
      </c>
      <c r="E245" s="8">
        <v>234.73</v>
      </c>
      <c r="F245" s="8">
        <v>0</v>
      </c>
      <c r="G245" s="8">
        <v>1200</v>
      </c>
      <c r="H245" s="8">
        <v>274.06</v>
      </c>
      <c r="I245" s="8">
        <v>1474.06</v>
      </c>
      <c r="J245" s="7" t="s">
        <v>14</v>
      </c>
    </row>
    <row r="246" spans="1:10" x14ac:dyDescent="0.3">
      <c r="A246" s="10">
        <v>43385</v>
      </c>
      <c r="B246" t="s">
        <v>27</v>
      </c>
      <c r="C246" s="8">
        <v>965.27</v>
      </c>
      <c r="D246" s="7">
        <v>80</v>
      </c>
      <c r="E246" s="8">
        <v>234.73</v>
      </c>
      <c r="F246" s="8">
        <v>0</v>
      </c>
      <c r="G246" s="8">
        <v>1200</v>
      </c>
      <c r="H246" s="8">
        <v>274.06</v>
      </c>
      <c r="I246" s="8">
        <v>1474.06</v>
      </c>
      <c r="J246" s="7" t="s">
        <v>14</v>
      </c>
    </row>
    <row r="247" spans="1:10" x14ac:dyDescent="0.3">
      <c r="A247" s="10">
        <v>43399</v>
      </c>
      <c r="B247" t="s">
        <v>27</v>
      </c>
      <c r="C247" s="8">
        <v>896.14</v>
      </c>
      <c r="D247" s="7">
        <v>74</v>
      </c>
      <c r="E247" s="8">
        <v>213.86</v>
      </c>
      <c r="F247" s="8">
        <v>0</v>
      </c>
      <c r="G247" s="8">
        <v>1110</v>
      </c>
      <c r="H247" s="8">
        <v>253.5</v>
      </c>
      <c r="I247" s="8">
        <v>1363.5</v>
      </c>
      <c r="J247" s="7" t="s">
        <v>14</v>
      </c>
    </row>
    <row r="248" spans="1:10" x14ac:dyDescent="0.3">
      <c r="A248" s="10">
        <v>43413</v>
      </c>
      <c r="B248" t="s">
        <v>27</v>
      </c>
      <c r="C248" s="8">
        <v>965.27</v>
      </c>
      <c r="D248" s="7">
        <v>80</v>
      </c>
      <c r="E248" s="8">
        <v>234.73</v>
      </c>
      <c r="F248" s="8">
        <v>0</v>
      </c>
      <c r="G248" s="8">
        <v>1200</v>
      </c>
      <c r="H248" s="8">
        <v>274.06</v>
      </c>
      <c r="I248" s="8">
        <v>1474.06</v>
      </c>
      <c r="J248" s="7">
        <v>1010</v>
      </c>
    </row>
    <row r="249" spans="1:10" x14ac:dyDescent="0.3">
      <c r="A249" s="10">
        <v>43427</v>
      </c>
      <c r="B249" t="s">
        <v>27</v>
      </c>
      <c r="C249" s="8">
        <v>965.27</v>
      </c>
      <c r="D249" s="7">
        <v>80</v>
      </c>
      <c r="E249" s="8">
        <v>234.73</v>
      </c>
      <c r="F249" s="8">
        <v>0</v>
      </c>
      <c r="G249" s="8">
        <v>1200</v>
      </c>
      <c r="H249" s="8">
        <v>274.06</v>
      </c>
      <c r="I249" s="8">
        <v>1474.06</v>
      </c>
      <c r="J249" s="7" t="s">
        <v>14</v>
      </c>
    </row>
    <row r="250" spans="1:10" x14ac:dyDescent="0.3">
      <c r="A250" s="10">
        <v>43441</v>
      </c>
      <c r="B250" t="s">
        <v>27</v>
      </c>
      <c r="C250" s="8">
        <v>1920</v>
      </c>
      <c r="D250" s="7">
        <v>80</v>
      </c>
      <c r="E250" s="8">
        <v>553.19000000000005</v>
      </c>
      <c r="F250" s="8">
        <v>0</v>
      </c>
      <c r="G250" s="8">
        <v>2473.19</v>
      </c>
      <c r="H250" s="8">
        <v>394.49</v>
      </c>
      <c r="I250" s="8">
        <v>2867.68</v>
      </c>
      <c r="J250" s="7" t="s">
        <v>14</v>
      </c>
    </row>
    <row r="251" spans="1:10" x14ac:dyDescent="0.3">
      <c r="A251" s="10">
        <v>43455</v>
      </c>
      <c r="B251" t="s">
        <v>27</v>
      </c>
      <c r="C251" s="8">
        <v>2808</v>
      </c>
      <c r="D251" s="7">
        <v>80</v>
      </c>
      <c r="E251" s="8">
        <v>935.08</v>
      </c>
      <c r="F251" s="8">
        <v>0</v>
      </c>
      <c r="G251" s="8">
        <v>3743.08</v>
      </c>
      <c r="H251" s="8">
        <v>514.64</v>
      </c>
      <c r="I251" s="8">
        <v>4257.72</v>
      </c>
      <c r="J251" s="7" t="s">
        <v>14</v>
      </c>
    </row>
    <row r="252" spans="1:10" x14ac:dyDescent="0.3">
      <c r="A252" s="10">
        <v>43469</v>
      </c>
      <c r="B252" t="s">
        <v>27</v>
      </c>
      <c r="C252" s="8">
        <v>0</v>
      </c>
      <c r="D252" s="7">
        <v>0</v>
      </c>
      <c r="E252" s="8">
        <v>-0.01</v>
      </c>
      <c r="F252" s="8">
        <v>0.01</v>
      </c>
      <c r="G252" s="8">
        <v>0</v>
      </c>
      <c r="H252" s="8">
        <v>0</v>
      </c>
      <c r="I252" s="8">
        <v>0</v>
      </c>
    </row>
    <row r="253" spans="1:10" x14ac:dyDescent="0.3">
      <c r="A253" s="10">
        <v>43469</v>
      </c>
      <c r="B253" t="s">
        <v>27</v>
      </c>
      <c r="C253" s="8">
        <v>0</v>
      </c>
      <c r="D253" s="7">
        <v>0</v>
      </c>
      <c r="E253" s="8">
        <v>0</v>
      </c>
      <c r="F253" s="8">
        <v>0</v>
      </c>
      <c r="G253" s="8">
        <v>0</v>
      </c>
      <c r="H253" s="8">
        <v>0</v>
      </c>
      <c r="I253" s="8">
        <v>0</v>
      </c>
    </row>
    <row r="254" spans="1:10" x14ac:dyDescent="0.3">
      <c r="A254" s="10">
        <v>43469</v>
      </c>
      <c r="B254" t="s">
        <v>27</v>
      </c>
      <c r="C254" s="8">
        <v>2025</v>
      </c>
      <c r="D254" s="7">
        <v>75</v>
      </c>
      <c r="E254" s="8">
        <v>596.9</v>
      </c>
      <c r="F254" s="8">
        <v>0</v>
      </c>
      <c r="G254" s="8">
        <v>2621.9</v>
      </c>
      <c r="H254" s="8">
        <v>414.26</v>
      </c>
      <c r="I254" s="8">
        <v>3036.16</v>
      </c>
      <c r="J254" s="7" t="s">
        <v>14</v>
      </c>
    </row>
    <row r="255" spans="1:10" x14ac:dyDescent="0.3">
      <c r="A255" s="10">
        <v>43483</v>
      </c>
      <c r="B255" t="s">
        <v>27</v>
      </c>
      <c r="C255" s="8">
        <v>1062.67</v>
      </c>
      <c r="D255" s="7">
        <v>80</v>
      </c>
      <c r="E255" s="8">
        <v>137.33000000000001</v>
      </c>
      <c r="F255" s="8">
        <v>0</v>
      </c>
      <c r="G255" s="8">
        <v>1200</v>
      </c>
      <c r="H255" s="8">
        <v>281.26</v>
      </c>
      <c r="I255" s="8">
        <v>1481.26</v>
      </c>
      <c r="J255" s="7" t="s">
        <v>14</v>
      </c>
    </row>
    <row r="256" spans="1:10" x14ac:dyDescent="0.3">
      <c r="A256" s="10">
        <v>43483</v>
      </c>
      <c r="B256" t="s">
        <v>27</v>
      </c>
      <c r="C256" s="8">
        <v>137.33000000000001</v>
      </c>
      <c r="D256" s="7">
        <v>0</v>
      </c>
      <c r="E256" s="8">
        <v>11.78</v>
      </c>
      <c r="F256" s="8">
        <v>0</v>
      </c>
      <c r="G256" s="8">
        <v>149.11000000000001</v>
      </c>
      <c r="H256" s="8">
        <v>15</v>
      </c>
      <c r="I256" s="8">
        <v>164.11</v>
      </c>
      <c r="J256" s="7" t="s">
        <v>14</v>
      </c>
    </row>
    <row r="257" spans="1:10" x14ac:dyDescent="0.3">
      <c r="A257" s="10">
        <v>43483</v>
      </c>
      <c r="B257" t="s">
        <v>27</v>
      </c>
      <c r="C257" s="8">
        <v>0</v>
      </c>
      <c r="D257" s="7">
        <v>0</v>
      </c>
      <c r="E257" s="8">
        <v>-0.01</v>
      </c>
      <c r="F257" s="8">
        <v>0.01</v>
      </c>
      <c r="G257" s="8">
        <v>0</v>
      </c>
      <c r="H257" s="8">
        <v>0</v>
      </c>
      <c r="I257" s="8">
        <v>0</v>
      </c>
    </row>
    <row r="258" spans="1:10" x14ac:dyDescent="0.3">
      <c r="A258" s="10">
        <v>43483</v>
      </c>
      <c r="B258" t="s">
        <v>27</v>
      </c>
      <c r="C258" s="8">
        <v>0</v>
      </c>
      <c r="D258" s="7">
        <v>0</v>
      </c>
      <c r="E258" s="8">
        <v>0</v>
      </c>
      <c r="F258" s="8">
        <v>0</v>
      </c>
      <c r="G258" s="8">
        <v>0</v>
      </c>
      <c r="H258" s="8">
        <v>0</v>
      </c>
      <c r="I258" s="8">
        <v>0</v>
      </c>
    </row>
    <row r="259" spans="1:10" x14ac:dyDescent="0.3">
      <c r="A259" s="10">
        <v>43488</v>
      </c>
      <c r="B259" t="s">
        <v>27</v>
      </c>
      <c r="C259" s="8">
        <v>0</v>
      </c>
      <c r="D259" s="7">
        <v>0</v>
      </c>
      <c r="E259" s="8">
        <v>0</v>
      </c>
      <c r="F259" s="8">
        <v>0</v>
      </c>
      <c r="G259" s="8">
        <v>0</v>
      </c>
      <c r="H259" s="8">
        <v>0</v>
      </c>
      <c r="I259" s="8">
        <v>0</v>
      </c>
    </row>
    <row r="260" spans="1:10" x14ac:dyDescent="0.3">
      <c r="A260" s="10">
        <v>43488</v>
      </c>
      <c r="B260" t="s">
        <v>27</v>
      </c>
      <c r="C260" s="8">
        <v>1203</v>
      </c>
      <c r="D260" s="7">
        <v>0</v>
      </c>
      <c r="E260" s="8">
        <v>243.52</v>
      </c>
      <c r="F260" s="8">
        <v>0</v>
      </c>
      <c r="G260" s="8">
        <v>1446.52</v>
      </c>
      <c r="H260" s="8">
        <v>145.52000000000001</v>
      </c>
      <c r="I260" s="8">
        <v>1592.04</v>
      </c>
      <c r="J260" s="7">
        <v>100136</v>
      </c>
    </row>
    <row r="261" spans="1:10" x14ac:dyDescent="0.3">
      <c r="A261" s="10">
        <v>43495</v>
      </c>
      <c r="B261" t="s">
        <v>27</v>
      </c>
      <c r="C261" s="8">
        <v>1640</v>
      </c>
      <c r="D261" s="7">
        <v>0</v>
      </c>
      <c r="E261" s="8">
        <v>375.82</v>
      </c>
      <c r="F261" s="8">
        <v>0</v>
      </c>
      <c r="G261" s="8">
        <v>2015.82</v>
      </c>
      <c r="H261" s="8">
        <v>190.7</v>
      </c>
      <c r="I261" s="8">
        <v>2206.52</v>
      </c>
      <c r="J261" s="7" t="s">
        <v>14</v>
      </c>
    </row>
    <row r="262" spans="1:10" x14ac:dyDescent="0.3">
      <c r="A262" s="10">
        <v>43495</v>
      </c>
      <c r="B262" t="s">
        <v>27</v>
      </c>
      <c r="C262" s="8">
        <v>0</v>
      </c>
      <c r="D262" s="7">
        <v>0</v>
      </c>
      <c r="E262" s="8">
        <v>-0.01</v>
      </c>
      <c r="F262" s="8">
        <v>0.01</v>
      </c>
      <c r="G262" s="8">
        <v>0</v>
      </c>
      <c r="H262" s="8">
        <v>0</v>
      </c>
      <c r="I262" s="8">
        <v>0</v>
      </c>
    </row>
    <row r="263" spans="1:10" x14ac:dyDescent="0.3">
      <c r="A263" s="10">
        <v>43497</v>
      </c>
      <c r="B263" t="s">
        <v>27</v>
      </c>
      <c r="C263" s="8">
        <v>1283.44</v>
      </c>
      <c r="D263" s="7">
        <v>80</v>
      </c>
      <c r="E263" s="8">
        <v>316.56</v>
      </c>
      <c r="F263" s="8">
        <v>0</v>
      </c>
      <c r="G263" s="8">
        <v>1600</v>
      </c>
      <c r="H263" s="8">
        <v>321.39</v>
      </c>
      <c r="I263" s="8">
        <v>1921.39</v>
      </c>
      <c r="J263" s="7" t="s">
        <v>14</v>
      </c>
    </row>
    <row r="264" spans="1:10" x14ac:dyDescent="0.3">
      <c r="A264" s="10">
        <v>43511</v>
      </c>
      <c r="B264" t="s">
        <v>27</v>
      </c>
      <c r="C264" s="8">
        <v>0</v>
      </c>
      <c r="D264" s="7">
        <v>0</v>
      </c>
      <c r="E264" s="8">
        <v>-0.01</v>
      </c>
      <c r="F264" s="8">
        <v>0.01</v>
      </c>
      <c r="G264" s="8">
        <v>0</v>
      </c>
      <c r="H264" s="8">
        <v>0</v>
      </c>
      <c r="I264" s="8">
        <v>0</v>
      </c>
    </row>
    <row r="265" spans="1:10" x14ac:dyDescent="0.3">
      <c r="A265" s="10">
        <v>43511</v>
      </c>
      <c r="B265" t="s">
        <v>27</v>
      </c>
      <c r="C265" s="8">
        <v>2086.2199999999998</v>
      </c>
      <c r="D265" s="7">
        <v>80</v>
      </c>
      <c r="E265" s="8">
        <v>626.78</v>
      </c>
      <c r="F265" s="8">
        <v>0</v>
      </c>
      <c r="G265" s="8">
        <v>2713</v>
      </c>
      <c r="H265" s="8">
        <v>417.18</v>
      </c>
      <c r="I265" s="8">
        <v>3130.18</v>
      </c>
      <c r="J265" s="7" t="s">
        <v>14</v>
      </c>
    </row>
    <row r="266" spans="1:10" x14ac:dyDescent="0.3">
      <c r="A266" s="10">
        <v>43523</v>
      </c>
      <c r="B266" t="s">
        <v>27</v>
      </c>
      <c r="C266" s="8">
        <v>0</v>
      </c>
      <c r="D266" s="7">
        <v>0</v>
      </c>
      <c r="E266" s="8">
        <v>-0.01</v>
      </c>
      <c r="F266" s="8">
        <v>0.01</v>
      </c>
      <c r="G266" s="8">
        <v>0</v>
      </c>
      <c r="H266" s="8">
        <v>0</v>
      </c>
      <c r="I266" s="8">
        <v>0</v>
      </c>
    </row>
    <row r="267" spans="1:10" x14ac:dyDescent="0.3">
      <c r="A267" s="10">
        <v>43523</v>
      </c>
      <c r="B267" t="s">
        <v>27</v>
      </c>
      <c r="C267" s="8">
        <v>2639.44</v>
      </c>
      <c r="D267" s="7">
        <v>0</v>
      </c>
      <c r="E267" s="8">
        <v>802.19</v>
      </c>
      <c r="F267" s="8">
        <v>0</v>
      </c>
      <c r="G267" s="8">
        <v>3441.63</v>
      </c>
      <c r="H267" s="8">
        <v>325.58</v>
      </c>
      <c r="I267" s="8">
        <v>3767.21</v>
      </c>
      <c r="J267" s="7" t="s">
        <v>14</v>
      </c>
    </row>
    <row r="268" spans="1:10" x14ac:dyDescent="0.3">
      <c r="A268" s="10">
        <v>43539</v>
      </c>
      <c r="B268" t="s">
        <v>27</v>
      </c>
      <c r="C268" s="8">
        <v>0</v>
      </c>
      <c r="D268" s="7">
        <v>0</v>
      </c>
      <c r="E268" s="8">
        <v>-0.01</v>
      </c>
      <c r="F268" s="8">
        <v>0.01</v>
      </c>
      <c r="G268" s="8">
        <v>0</v>
      </c>
      <c r="H268" s="8">
        <v>0</v>
      </c>
      <c r="I268" s="8">
        <v>0</v>
      </c>
    </row>
    <row r="269" spans="1:10" x14ac:dyDescent="0.3">
      <c r="A269" s="10">
        <v>43539</v>
      </c>
      <c r="B269" t="s">
        <v>27</v>
      </c>
      <c r="C269" s="8">
        <v>2572.08</v>
      </c>
      <c r="D269" s="7">
        <v>80</v>
      </c>
      <c r="E269" s="8">
        <v>316.92</v>
      </c>
      <c r="F269" s="8">
        <v>0</v>
      </c>
      <c r="G269" s="8">
        <v>2889</v>
      </c>
      <c r="H269" s="8">
        <v>433.85</v>
      </c>
      <c r="I269" s="8">
        <v>3322.85</v>
      </c>
      <c r="J269" s="7" t="s">
        <v>14</v>
      </c>
    </row>
    <row r="270" spans="1:10" x14ac:dyDescent="0.3">
      <c r="A270" s="10">
        <v>43553</v>
      </c>
      <c r="B270" t="s">
        <v>27</v>
      </c>
      <c r="C270" s="8">
        <v>2020.33</v>
      </c>
      <c r="D270" s="7">
        <v>80</v>
      </c>
      <c r="E270" s="8">
        <v>598.66999999999996</v>
      </c>
      <c r="F270" s="8">
        <v>0</v>
      </c>
      <c r="G270" s="8">
        <v>2619</v>
      </c>
      <c r="H270" s="8">
        <v>408.29</v>
      </c>
      <c r="I270" s="8">
        <v>3027.29</v>
      </c>
      <c r="J270" s="7" t="s">
        <v>14</v>
      </c>
    </row>
    <row r="271" spans="1:10" x14ac:dyDescent="0.3">
      <c r="A271" s="10">
        <v>43553</v>
      </c>
      <c r="B271" t="s">
        <v>27</v>
      </c>
      <c r="C271" s="8">
        <v>0</v>
      </c>
      <c r="D271" s="7">
        <v>0</v>
      </c>
      <c r="E271" s="8">
        <v>0</v>
      </c>
      <c r="F271" s="8">
        <v>0</v>
      </c>
      <c r="G271" s="8">
        <v>0</v>
      </c>
      <c r="H271" s="8">
        <v>-35.19</v>
      </c>
      <c r="I271" s="8">
        <v>-35.19</v>
      </c>
    </row>
    <row r="272" spans="1:10" x14ac:dyDescent="0.3">
      <c r="A272" s="10">
        <v>43567</v>
      </c>
      <c r="B272" t="s">
        <v>27</v>
      </c>
      <c r="C272" s="8">
        <v>0</v>
      </c>
      <c r="D272" s="7">
        <v>0</v>
      </c>
      <c r="E272" s="8">
        <v>-0.01</v>
      </c>
      <c r="F272" s="8">
        <v>0.01</v>
      </c>
      <c r="G272" s="8">
        <v>0</v>
      </c>
      <c r="H272" s="8">
        <v>0</v>
      </c>
      <c r="I272" s="8">
        <v>0</v>
      </c>
    </row>
    <row r="273" spans="1:10" x14ac:dyDescent="0.3">
      <c r="A273" s="10">
        <v>43567</v>
      </c>
      <c r="B273" t="s">
        <v>27</v>
      </c>
      <c r="C273" s="8">
        <v>2067.29</v>
      </c>
      <c r="D273" s="7">
        <v>80</v>
      </c>
      <c r="E273" s="8">
        <v>618.71</v>
      </c>
      <c r="F273" s="8">
        <v>0</v>
      </c>
      <c r="G273" s="8">
        <v>2686</v>
      </c>
      <c r="H273" s="8">
        <v>414.64</v>
      </c>
      <c r="I273" s="8">
        <v>3100.64</v>
      </c>
      <c r="J273" s="7" t="s">
        <v>14</v>
      </c>
    </row>
    <row r="274" spans="1:10" x14ac:dyDescent="0.3">
      <c r="A274" s="10">
        <v>43567</v>
      </c>
      <c r="B274" t="s">
        <v>27</v>
      </c>
      <c r="C274" s="8">
        <v>549</v>
      </c>
      <c r="D274" s="7">
        <v>30</v>
      </c>
      <c r="E274" s="8">
        <v>101.64</v>
      </c>
      <c r="F274" s="8">
        <v>0</v>
      </c>
      <c r="G274" s="8">
        <v>650.64</v>
      </c>
      <c r="H274" s="8">
        <v>121.75</v>
      </c>
      <c r="I274" s="8">
        <v>772.39</v>
      </c>
      <c r="J274" s="7">
        <v>100172</v>
      </c>
    </row>
    <row r="275" spans="1:10" x14ac:dyDescent="0.3">
      <c r="A275" s="10">
        <v>43567</v>
      </c>
      <c r="B275" t="s">
        <v>27</v>
      </c>
      <c r="C275" s="8">
        <v>0</v>
      </c>
      <c r="D275" s="7">
        <v>0</v>
      </c>
      <c r="E275" s="8">
        <v>0</v>
      </c>
      <c r="F275" s="8">
        <v>0</v>
      </c>
      <c r="G275" s="8">
        <v>0</v>
      </c>
      <c r="H275" s="8">
        <v>-5.68</v>
      </c>
      <c r="I275" s="8">
        <v>-5.68</v>
      </c>
    </row>
    <row r="276" spans="1:10" x14ac:dyDescent="0.3">
      <c r="A276" s="10">
        <v>43581</v>
      </c>
      <c r="B276" t="s">
        <v>27</v>
      </c>
      <c r="C276" s="8">
        <v>2022</v>
      </c>
      <c r="D276" s="7">
        <v>80</v>
      </c>
      <c r="E276" s="8">
        <v>599.39</v>
      </c>
      <c r="F276" s="8">
        <v>0</v>
      </c>
      <c r="G276" s="8">
        <v>2621.39</v>
      </c>
      <c r="H276" s="8">
        <v>404.07</v>
      </c>
      <c r="I276" s="8">
        <v>3025.46</v>
      </c>
      <c r="J276" s="7" t="s">
        <v>14</v>
      </c>
    </row>
    <row r="277" spans="1:10" x14ac:dyDescent="0.3">
      <c r="A277" s="10">
        <v>43595</v>
      </c>
      <c r="B277" t="s">
        <v>27</v>
      </c>
      <c r="C277" s="8">
        <v>2022</v>
      </c>
      <c r="D277" s="7">
        <v>80</v>
      </c>
      <c r="E277" s="8">
        <v>599.37</v>
      </c>
      <c r="F277" s="8">
        <v>0</v>
      </c>
      <c r="G277" s="8">
        <v>2621.37</v>
      </c>
      <c r="H277" s="8">
        <v>404.06</v>
      </c>
      <c r="I277" s="8">
        <v>3025.43</v>
      </c>
      <c r="J277" s="7" t="s">
        <v>14</v>
      </c>
    </row>
    <row r="278" spans="1:10" x14ac:dyDescent="0.3">
      <c r="A278" s="21" t="s">
        <v>15</v>
      </c>
      <c r="B278" s="22" t="str">
        <f>+B277</f>
        <v>*Edison R. Chimborazo Macas</v>
      </c>
      <c r="C278" s="23">
        <f>SUM(C231:C277)</f>
        <v>45831.450000000012</v>
      </c>
      <c r="D278" s="23">
        <f t="shared" ref="D278:I278" si="11">SUM(D231:D277)</f>
        <v>2368.5</v>
      </c>
      <c r="E278" s="23">
        <f t="shared" si="11"/>
        <v>11612.63</v>
      </c>
      <c r="F278" s="23">
        <f t="shared" si="11"/>
        <v>7.0000000000000007E-2</v>
      </c>
      <c r="G278" s="23">
        <f t="shared" si="11"/>
        <v>57444.149999999994</v>
      </c>
      <c r="H278" s="23">
        <f t="shared" si="11"/>
        <v>10221.390000000001</v>
      </c>
      <c r="I278" s="23">
        <f t="shared" si="11"/>
        <v>67665.539999999994</v>
      </c>
      <c r="J278" s="24"/>
    </row>
    <row r="279" spans="1:10" x14ac:dyDescent="0.3">
      <c r="A279" s="10">
        <v>43721</v>
      </c>
      <c r="B279" t="s">
        <v>28</v>
      </c>
      <c r="C279" s="8">
        <v>1161</v>
      </c>
      <c r="D279" s="7">
        <v>60</v>
      </c>
      <c r="E279" s="8">
        <v>134.22999999999999</v>
      </c>
      <c r="F279" s="8">
        <v>0</v>
      </c>
      <c r="G279" s="8">
        <v>1295.23</v>
      </c>
      <c r="H279" s="8">
        <v>248.49</v>
      </c>
      <c r="I279" s="8">
        <v>1543.72</v>
      </c>
      <c r="J279" s="7" t="s">
        <v>14</v>
      </c>
    </row>
    <row r="280" spans="1:10" x14ac:dyDescent="0.3">
      <c r="A280" s="10">
        <v>43735</v>
      </c>
      <c r="B280" t="s">
        <v>28</v>
      </c>
      <c r="C280" s="8">
        <v>1792</v>
      </c>
      <c r="D280" s="7">
        <v>80</v>
      </c>
      <c r="E280" s="8">
        <v>266.93</v>
      </c>
      <c r="F280" s="8">
        <v>170</v>
      </c>
      <c r="G280" s="8">
        <v>2228.9299999999998</v>
      </c>
      <c r="H280" s="8">
        <v>380.99</v>
      </c>
      <c r="I280" s="8">
        <v>2609.92</v>
      </c>
      <c r="J280" s="7" t="s">
        <v>14</v>
      </c>
    </row>
    <row r="281" spans="1:10" x14ac:dyDescent="0.3">
      <c r="A281" s="10">
        <v>43749</v>
      </c>
      <c r="B281" t="s">
        <v>28</v>
      </c>
      <c r="C281" s="8">
        <v>1916</v>
      </c>
      <c r="D281" s="7">
        <v>80</v>
      </c>
      <c r="E281" s="8">
        <v>278.69</v>
      </c>
      <c r="F281" s="8">
        <v>100</v>
      </c>
      <c r="G281" s="8">
        <v>2294.69</v>
      </c>
      <c r="H281" s="8">
        <v>387.48</v>
      </c>
      <c r="I281" s="8">
        <v>2682.17</v>
      </c>
      <c r="J281" s="7" t="s">
        <v>14</v>
      </c>
    </row>
    <row r="282" spans="1:10" x14ac:dyDescent="0.3">
      <c r="A282" s="10">
        <v>43763</v>
      </c>
      <c r="B282" t="s">
        <v>28</v>
      </c>
      <c r="C282" s="8">
        <v>1710</v>
      </c>
      <c r="D282" s="7">
        <v>80</v>
      </c>
      <c r="E282" s="8">
        <v>211.96</v>
      </c>
      <c r="F282" s="8">
        <v>0</v>
      </c>
      <c r="G282" s="8">
        <v>1921.96</v>
      </c>
      <c r="H282" s="8">
        <v>346.18</v>
      </c>
      <c r="I282" s="8">
        <v>2268.14</v>
      </c>
      <c r="J282" s="7" t="s">
        <v>14</v>
      </c>
    </row>
    <row r="283" spans="1:10" x14ac:dyDescent="0.3">
      <c r="A283" s="10">
        <v>43777</v>
      </c>
      <c r="B283" t="s">
        <v>28</v>
      </c>
      <c r="C283" s="8">
        <v>1890</v>
      </c>
      <c r="D283" s="7">
        <v>80</v>
      </c>
      <c r="E283" s="8">
        <v>251.23</v>
      </c>
      <c r="F283" s="8">
        <v>0</v>
      </c>
      <c r="G283" s="8">
        <v>2141.23</v>
      </c>
      <c r="H283" s="8">
        <v>359.47</v>
      </c>
      <c r="I283" s="8">
        <v>2500.6999999999998</v>
      </c>
      <c r="J283" s="7" t="s">
        <v>14</v>
      </c>
    </row>
    <row r="284" spans="1:10" x14ac:dyDescent="0.3">
      <c r="A284" s="10">
        <v>43791</v>
      </c>
      <c r="B284" t="s">
        <v>28</v>
      </c>
      <c r="C284" s="8">
        <v>1909</v>
      </c>
      <c r="D284" s="7">
        <v>80</v>
      </c>
      <c r="E284" s="8">
        <v>255.36</v>
      </c>
      <c r="F284" s="8">
        <v>0</v>
      </c>
      <c r="G284" s="8">
        <v>2164.36</v>
      </c>
      <c r="H284" s="8">
        <v>361.6</v>
      </c>
      <c r="I284" s="8">
        <v>2525.96</v>
      </c>
      <c r="J284" s="7" t="s">
        <v>14</v>
      </c>
    </row>
    <row r="285" spans="1:10" x14ac:dyDescent="0.3">
      <c r="A285" s="10">
        <v>43805</v>
      </c>
      <c r="B285" t="s">
        <v>28</v>
      </c>
      <c r="C285" s="8">
        <v>1453</v>
      </c>
      <c r="D285" s="7">
        <v>80</v>
      </c>
      <c r="E285" s="8">
        <v>170.82</v>
      </c>
      <c r="F285" s="8">
        <v>0</v>
      </c>
      <c r="G285" s="8">
        <v>1623.82</v>
      </c>
      <c r="H285" s="8">
        <v>311.39</v>
      </c>
      <c r="I285" s="8">
        <v>1935.21</v>
      </c>
      <c r="J285" s="7" t="s">
        <v>14</v>
      </c>
    </row>
    <row r="286" spans="1:10" x14ac:dyDescent="0.3">
      <c r="A286" s="10">
        <v>43819</v>
      </c>
      <c r="B286" t="s">
        <v>28</v>
      </c>
      <c r="C286" s="8">
        <v>2707</v>
      </c>
      <c r="D286" s="7">
        <v>80</v>
      </c>
      <c r="E286" s="8">
        <v>445.47</v>
      </c>
      <c r="F286" s="8">
        <v>0</v>
      </c>
      <c r="G286" s="8">
        <v>3152.47</v>
      </c>
      <c r="H286" s="8">
        <v>453.41</v>
      </c>
      <c r="I286" s="8">
        <v>3605.88</v>
      </c>
      <c r="J286" s="7" t="s">
        <v>14</v>
      </c>
    </row>
    <row r="287" spans="1:10" x14ac:dyDescent="0.3">
      <c r="A287" s="21" t="s">
        <v>15</v>
      </c>
      <c r="B287" s="22" t="str">
        <f>+B286</f>
        <v>*Emeterio Collins Lopez</v>
      </c>
      <c r="C287" s="23">
        <f t="shared" ref="C287:I287" si="12">SUM(C279:C286)</f>
        <v>14538</v>
      </c>
      <c r="D287" s="23">
        <f t="shared" si="12"/>
        <v>620</v>
      </c>
      <c r="E287" s="23">
        <f t="shared" si="12"/>
        <v>2014.69</v>
      </c>
      <c r="F287" s="23">
        <f t="shared" si="12"/>
        <v>270</v>
      </c>
      <c r="G287" s="23">
        <f t="shared" si="12"/>
        <v>16822.690000000002</v>
      </c>
      <c r="H287" s="23">
        <f t="shared" si="12"/>
        <v>2849.0099999999998</v>
      </c>
      <c r="I287" s="23">
        <f t="shared" si="12"/>
        <v>19671.7</v>
      </c>
      <c r="J287" s="24"/>
    </row>
    <row r="288" spans="1:10" x14ac:dyDescent="0.3">
      <c r="A288" s="10">
        <v>43427</v>
      </c>
      <c r="B288" t="s">
        <v>29</v>
      </c>
      <c r="C288" s="8">
        <v>3625</v>
      </c>
      <c r="D288" s="7">
        <v>80</v>
      </c>
      <c r="E288" s="8">
        <v>562.58000000000004</v>
      </c>
      <c r="F288" s="8">
        <v>0</v>
      </c>
      <c r="G288" s="8">
        <v>4187.58</v>
      </c>
      <c r="H288" s="8">
        <v>481.22</v>
      </c>
      <c r="I288" s="8">
        <v>4668.8</v>
      </c>
      <c r="J288" s="7">
        <v>100102</v>
      </c>
    </row>
    <row r="289" spans="1:10" x14ac:dyDescent="0.3">
      <c r="A289" s="10">
        <v>43441</v>
      </c>
      <c r="B289" t="s">
        <v>29</v>
      </c>
      <c r="C289" s="8">
        <v>1060</v>
      </c>
      <c r="D289" s="7">
        <v>60</v>
      </c>
      <c r="E289" s="8">
        <v>274.24</v>
      </c>
      <c r="F289" s="8">
        <v>440</v>
      </c>
      <c r="G289" s="8">
        <v>1774.24</v>
      </c>
      <c r="H289" s="8">
        <v>298.88</v>
      </c>
      <c r="I289" s="8">
        <v>2073.12</v>
      </c>
      <c r="J289" s="7">
        <v>100105</v>
      </c>
    </row>
    <row r="290" spans="1:10" x14ac:dyDescent="0.3">
      <c r="A290" s="10">
        <v>43441</v>
      </c>
      <c r="B290" t="s">
        <v>29</v>
      </c>
      <c r="C290" s="8">
        <v>1500</v>
      </c>
      <c r="D290" s="7">
        <v>0</v>
      </c>
      <c r="E290" s="8">
        <v>0</v>
      </c>
      <c r="F290" s="8">
        <v>0</v>
      </c>
      <c r="G290" s="8">
        <v>1500</v>
      </c>
      <c r="H290" s="8">
        <v>0</v>
      </c>
      <c r="I290" s="8">
        <v>1500</v>
      </c>
      <c r="J290" s="7">
        <v>100110</v>
      </c>
    </row>
    <row r="291" spans="1:10" x14ac:dyDescent="0.3">
      <c r="A291" s="10">
        <v>43455</v>
      </c>
      <c r="B291" t="s">
        <v>29</v>
      </c>
      <c r="C291" s="8">
        <v>1825</v>
      </c>
      <c r="D291" s="7">
        <v>80</v>
      </c>
      <c r="E291" s="8">
        <v>611.5</v>
      </c>
      <c r="F291" s="8">
        <v>1000</v>
      </c>
      <c r="G291" s="8">
        <v>3436.5</v>
      </c>
      <c r="H291" s="8">
        <v>497.87</v>
      </c>
      <c r="I291" s="8">
        <v>3934.37</v>
      </c>
      <c r="J291" s="7">
        <v>100113</v>
      </c>
    </row>
    <row r="292" spans="1:10" x14ac:dyDescent="0.3">
      <c r="A292" s="10">
        <v>43469</v>
      </c>
      <c r="B292" t="s">
        <v>29</v>
      </c>
      <c r="C292" s="8">
        <v>0</v>
      </c>
      <c r="D292" s="7">
        <v>0</v>
      </c>
      <c r="E292" s="8">
        <v>0</v>
      </c>
      <c r="F292" s="8">
        <v>0</v>
      </c>
      <c r="G292" s="8">
        <v>0</v>
      </c>
      <c r="H292" s="8">
        <v>0</v>
      </c>
      <c r="I292" s="8">
        <v>0</v>
      </c>
    </row>
    <row r="293" spans="1:10" x14ac:dyDescent="0.3">
      <c r="A293" s="10">
        <v>43469</v>
      </c>
      <c r="B293" t="s">
        <v>29</v>
      </c>
      <c r="C293" s="8">
        <v>1125</v>
      </c>
      <c r="D293" s="7">
        <v>45</v>
      </c>
      <c r="E293" s="8">
        <v>179.81</v>
      </c>
      <c r="F293" s="8">
        <v>0</v>
      </c>
      <c r="G293" s="8">
        <v>1304.81</v>
      </c>
      <c r="H293" s="8">
        <v>221.57</v>
      </c>
      <c r="I293" s="8">
        <v>1526.38</v>
      </c>
      <c r="J293" s="7">
        <v>100119</v>
      </c>
    </row>
    <row r="294" spans="1:10" x14ac:dyDescent="0.3">
      <c r="A294" s="10">
        <v>43483</v>
      </c>
      <c r="B294" t="s">
        <v>29</v>
      </c>
      <c r="C294" s="8">
        <v>0</v>
      </c>
      <c r="D294" s="7">
        <v>0</v>
      </c>
      <c r="E294" s="8">
        <v>-0.01</v>
      </c>
      <c r="F294" s="8">
        <v>0.01</v>
      </c>
      <c r="G294" s="8">
        <v>0</v>
      </c>
      <c r="H294" s="8">
        <v>0</v>
      </c>
      <c r="I294" s="8">
        <v>0</v>
      </c>
    </row>
    <row r="295" spans="1:10" x14ac:dyDescent="0.3">
      <c r="A295" s="10">
        <v>43483</v>
      </c>
      <c r="B295" t="s">
        <v>29</v>
      </c>
      <c r="C295" s="8">
        <v>0</v>
      </c>
      <c r="D295" s="7">
        <v>0</v>
      </c>
      <c r="E295" s="8">
        <v>0</v>
      </c>
      <c r="F295" s="8">
        <v>0</v>
      </c>
      <c r="G295" s="8">
        <v>0</v>
      </c>
      <c r="H295" s="8">
        <v>0</v>
      </c>
      <c r="I295" s="8">
        <v>0</v>
      </c>
    </row>
    <row r="296" spans="1:10" x14ac:dyDescent="0.3">
      <c r="A296" s="10">
        <v>43483</v>
      </c>
      <c r="B296" t="s">
        <v>29</v>
      </c>
      <c r="C296" s="8">
        <v>425</v>
      </c>
      <c r="D296" s="7">
        <v>80</v>
      </c>
      <c r="E296" s="8">
        <v>168.42</v>
      </c>
      <c r="F296" s="8">
        <v>1000</v>
      </c>
      <c r="G296" s="8">
        <v>1593.42</v>
      </c>
      <c r="H296" s="8">
        <v>320.83</v>
      </c>
      <c r="I296" s="8">
        <v>1914.25</v>
      </c>
      <c r="J296" s="7">
        <v>100128</v>
      </c>
    </row>
    <row r="297" spans="1:10" x14ac:dyDescent="0.3">
      <c r="A297" s="10">
        <v>43497</v>
      </c>
      <c r="B297" t="s">
        <v>29</v>
      </c>
      <c r="C297" s="8">
        <v>0</v>
      </c>
      <c r="D297" s="7">
        <v>0</v>
      </c>
      <c r="E297" s="8">
        <v>-0.01</v>
      </c>
      <c r="F297" s="8">
        <v>0.01</v>
      </c>
      <c r="G297" s="8">
        <v>0</v>
      </c>
      <c r="H297" s="8">
        <v>0</v>
      </c>
      <c r="I297" s="8">
        <v>0</v>
      </c>
    </row>
    <row r="298" spans="1:10" x14ac:dyDescent="0.3">
      <c r="A298" s="10">
        <v>43497</v>
      </c>
      <c r="B298" t="s">
        <v>29</v>
      </c>
      <c r="C298" s="8">
        <v>425</v>
      </c>
      <c r="D298" s="7">
        <v>80</v>
      </c>
      <c r="E298" s="8">
        <v>644.86</v>
      </c>
      <c r="F298" s="8">
        <v>2500</v>
      </c>
      <c r="G298" s="8">
        <v>3569.86</v>
      </c>
      <c r="H298" s="8">
        <v>519.66999999999996</v>
      </c>
      <c r="I298" s="8">
        <v>4089.53</v>
      </c>
      <c r="J298" s="7">
        <v>100137</v>
      </c>
    </row>
    <row r="299" spans="1:10" x14ac:dyDescent="0.3">
      <c r="A299" s="10">
        <v>43511</v>
      </c>
      <c r="B299" t="s">
        <v>29</v>
      </c>
      <c r="C299" s="8">
        <v>0</v>
      </c>
      <c r="D299" s="7">
        <v>0</v>
      </c>
      <c r="E299" s="8">
        <v>-0.01</v>
      </c>
      <c r="F299" s="8">
        <v>0.01</v>
      </c>
      <c r="G299" s="8">
        <v>0</v>
      </c>
      <c r="H299" s="8">
        <v>0</v>
      </c>
      <c r="I299" s="8">
        <v>0</v>
      </c>
    </row>
    <row r="300" spans="1:10" x14ac:dyDescent="0.3">
      <c r="A300" s="10">
        <v>43511</v>
      </c>
      <c r="B300" t="s">
        <v>29</v>
      </c>
      <c r="C300" s="8">
        <v>625</v>
      </c>
      <c r="D300" s="7">
        <v>25</v>
      </c>
      <c r="E300" s="8">
        <v>68.06</v>
      </c>
      <c r="F300" s="8">
        <v>0</v>
      </c>
      <c r="G300" s="8">
        <v>693.06</v>
      </c>
      <c r="H300" s="8">
        <v>118.92</v>
      </c>
      <c r="I300" s="8">
        <v>811.98</v>
      </c>
      <c r="J300" s="7" t="s">
        <v>14</v>
      </c>
    </row>
    <row r="301" spans="1:10" x14ac:dyDescent="0.3">
      <c r="A301" s="10">
        <v>43523</v>
      </c>
      <c r="B301" t="s">
        <v>29</v>
      </c>
      <c r="C301" s="8">
        <v>0</v>
      </c>
      <c r="D301" s="7">
        <v>0</v>
      </c>
      <c r="E301" s="8">
        <v>-0.01</v>
      </c>
      <c r="F301" s="8">
        <v>0.01</v>
      </c>
      <c r="G301" s="8">
        <v>0</v>
      </c>
      <c r="H301" s="8">
        <v>0</v>
      </c>
      <c r="I301" s="8">
        <v>0</v>
      </c>
    </row>
    <row r="302" spans="1:10" x14ac:dyDescent="0.3">
      <c r="A302" s="10">
        <v>43523</v>
      </c>
      <c r="B302" t="s">
        <v>29</v>
      </c>
      <c r="C302" s="8">
        <v>2837</v>
      </c>
      <c r="D302" s="7">
        <v>0</v>
      </c>
      <c r="E302" s="8">
        <v>569.94000000000005</v>
      </c>
      <c r="F302" s="8">
        <v>0</v>
      </c>
      <c r="G302" s="8">
        <v>3406.94</v>
      </c>
      <c r="H302" s="8">
        <v>322.3</v>
      </c>
      <c r="I302" s="8">
        <v>3729.24</v>
      </c>
      <c r="J302" s="7" t="s">
        <v>14</v>
      </c>
    </row>
    <row r="303" spans="1:10" x14ac:dyDescent="0.3">
      <c r="A303" s="10">
        <v>43539</v>
      </c>
      <c r="B303" t="s">
        <v>29</v>
      </c>
      <c r="C303" s="8">
        <v>0</v>
      </c>
      <c r="D303" s="7">
        <v>0</v>
      </c>
      <c r="E303" s="8">
        <v>-0.01</v>
      </c>
      <c r="F303" s="8">
        <v>0.01</v>
      </c>
      <c r="G303" s="8">
        <v>0</v>
      </c>
      <c r="H303" s="8">
        <v>0</v>
      </c>
      <c r="I303" s="8">
        <v>0</v>
      </c>
    </row>
    <row r="304" spans="1:10" x14ac:dyDescent="0.3">
      <c r="A304" s="10">
        <v>43539</v>
      </c>
      <c r="B304" t="s">
        <v>29</v>
      </c>
      <c r="C304" s="8">
        <v>2875</v>
      </c>
      <c r="D304" s="7">
        <v>80</v>
      </c>
      <c r="E304" s="8">
        <v>632.42999999999995</v>
      </c>
      <c r="F304" s="8">
        <v>0</v>
      </c>
      <c r="G304" s="8">
        <v>3507.43</v>
      </c>
      <c r="H304" s="8">
        <v>492.34</v>
      </c>
      <c r="I304" s="8">
        <v>3999.77</v>
      </c>
      <c r="J304" s="7" t="s">
        <v>14</v>
      </c>
    </row>
    <row r="305" spans="1:10" x14ac:dyDescent="0.3">
      <c r="A305" s="10">
        <v>43553</v>
      </c>
      <c r="B305" t="s">
        <v>29</v>
      </c>
      <c r="C305" s="8">
        <v>0</v>
      </c>
      <c r="D305" s="7">
        <v>0</v>
      </c>
      <c r="E305" s="8">
        <v>-0.01</v>
      </c>
      <c r="F305" s="8">
        <v>0.01</v>
      </c>
      <c r="G305" s="8">
        <v>0</v>
      </c>
      <c r="H305" s="8">
        <v>0</v>
      </c>
      <c r="I305" s="8">
        <v>0</v>
      </c>
    </row>
    <row r="306" spans="1:10" x14ac:dyDescent="0.3">
      <c r="A306" s="10">
        <v>43553</v>
      </c>
      <c r="B306" t="s">
        <v>29</v>
      </c>
      <c r="C306" s="8">
        <v>2750</v>
      </c>
      <c r="D306" s="7">
        <v>80</v>
      </c>
      <c r="E306" s="8">
        <v>601.37</v>
      </c>
      <c r="F306" s="8">
        <v>0</v>
      </c>
      <c r="G306" s="8">
        <v>3351.37</v>
      </c>
      <c r="H306" s="8">
        <v>477.58</v>
      </c>
      <c r="I306" s="8">
        <v>3828.95</v>
      </c>
      <c r="J306" s="7" t="s">
        <v>14</v>
      </c>
    </row>
    <row r="307" spans="1:10" x14ac:dyDescent="0.3">
      <c r="A307" s="10">
        <v>43553</v>
      </c>
      <c r="B307" t="s">
        <v>29</v>
      </c>
      <c r="C307" s="8">
        <v>0</v>
      </c>
      <c r="D307" s="7">
        <v>0</v>
      </c>
      <c r="E307" s="8">
        <v>0</v>
      </c>
      <c r="F307" s="8">
        <v>0</v>
      </c>
      <c r="G307" s="8">
        <v>0</v>
      </c>
      <c r="H307" s="8">
        <v>-29.62</v>
      </c>
      <c r="I307" s="8">
        <v>-29.62</v>
      </c>
    </row>
    <row r="308" spans="1:10" x14ac:dyDescent="0.3">
      <c r="A308" s="10">
        <v>43567</v>
      </c>
      <c r="B308" t="s">
        <v>29</v>
      </c>
      <c r="C308" s="8">
        <v>0</v>
      </c>
      <c r="D308" s="7">
        <v>0</v>
      </c>
      <c r="E308" s="8">
        <v>-0.01</v>
      </c>
      <c r="F308" s="8">
        <v>0.01</v>
      </c>
      <c r="G308" s="8">
        <v>0</v>
      </c>
      <c r="H308" s="8">
        <v>0</v>
      </c>
      <c r="I308" s="8">
        <v>0</v>
      </c>
    </row>
    <row r="309" spans="1:10" x14ac:dyDescent="0.3">
      <c r="A309" s="10">
        <v>43567</v>
      </c>
      <c r="B309" t="s">
        <v>29</v>
      </c>
      <c r="C309" s="8">
        <v>3050</v>
      </c>
      <c r="D309" s="7">
        <v>80</v>
      </c>
      <c r="E309" s="8">
        <v>675.92</v>
      </c>
      <c r="F309" s="8">
        <v>0</v>
      </c>
      <c r="G309" s="8">
        <v>3725.92</v>
      </c>
      <c r="H309" s="8">
        <v>513.01</v>
      </c>
      <c r="I309" s="8">
        <v>4238.93</v>
      </c>
      <c r="J309" s="7" t="s">
        <v>14</v>
      </c>
    </row>
    <row r="310" spans="1:10" x14ac:dyDescent="0.3">
      <c r="A310" s="10">
        <v>43567</v>
      </c>
      <c r="B310" t="s">
        <v>29</v>
      </c>
      <c r="C310" s="8">
        <v>0</v>
      </c>
      <c r="D310" s="7">
        <v>0</v>
      </c>
      <c r="E310" s="8">
        <v>0</v>
      </c>
      <c r="F310" s="8">
        <v>0</v>
      </c>
      <c r="G310" s="8">
        <v>0</v>
      </c>
      <c r="H310" s="8">
        <v>-6.33</v>
      </c>
      <c r="I310" s="8">
        <v>-6.33</v>
      </c>
    </row>
    <row r="311" spans="1:10" x14ac:dyDescent="0.3">
      <c r="A311" s="10">
        <v>43581</v>
      </c>
      <c r="B311" t="s">
        <v>29</v>
      </c>
      <c r="C311" s="8">
        <v>1325</v>
      </c>
      <c r="D311" s="7">
        <v>53</v>
      </c>
      <c r="E311" s="8">
        <v>229.35</v>
      </c>
      <c r="F311" s="8">
        <v>0</v>
      </c>
      <c r="G311" s="8">
        <v>1554.35</v>
      </c>
      <c r="H311" s="8">
        <v>250.75</v>
      </c>
      <c r="I311" s="8">
        <v>1805.1</v>
      </c>
      <c r="J311" s="7" t="s">
        <v>14</v>
      </c>
    </row>
    <row r="312" spans="1:10" x14ac:dyDescent="0.3">
      <c r="A312" s="10">
        <v>43595</v>
      </c>
      <c r="B312" t="s">
        <v>29</v>
      </c>
      <c r="C312" s="8">
        <v>1775</v>
      </c>
      <c r="D312" s="7">
        <v>71</v>
      </c>
      <c r="E312" s="8">
        <v>353.12</v>
      </c>
      <c r="F312" s="8">
        <v>0</v>
      </c>
      <c r="G312" s="8">
        <v>2128.12</v>
      </c>
      <c r="H312" s="8">
        <v>340.2</v>
      </c>
      <c r="I312" s="8">
        <v>2468.3200000000002</v>
      </c>
      <c r="J312" s="7" t="s">
        <v>14</v>
      </c>
    </row>
    <row r="313" spans="1:10" x14ac:dyDescent="0.3">
      <c r="A313" s="10">
        <v>43609</v>
      </c>
      <c r="B313" t="s">
        <v>29</v>
      </c>
      <c r="C313" s="8">
        <v>2087</v>
      </c>
      <c r="D313" s="7">
        <v>80</v>
      </c>
      <c r="E313" s="8">
        <v>436.6</v>
      </c>
      <c r="F313" s="8">
        <v>0</v>
      </c>
      <c r="G313" s="8">
        <v>2523.6</v>
      </c>
      <c r="H313" s="8">
        <v>394.97</v>
      </c>
      <c r="I313" s="8">
        <v>2918.57</v>
      </c>
      <c r="J313" s="7" t="s">
        <v>14</v>
      </c>
    </row>
    <row r="314" spans="1:10" x14ac:dyDescent="0.3">
      <c r="A314" s="10">
        <v>43623</v>
      </c>
      <c r="B314" t="s">
        <v>29</v>
      </c>
      <c r="C314" s="8">
        <v>1550</v>
      </c>
      <c r="D314" s="7">
        <v>62</v>
      </c>
      <c r="E314" s="8">
        <v>291.25</v>
      </c>
      <c r="F314" s="8">
        <v>0</v>
      </c>
      <c r="G314" s="8">
        <v>1841.25</v>
      </c>
      <c r="H314" s="8">
        <v>295.48</v>
      </c>
      <c r="I314" s="8">
        <v>2136.73</v>
      </c>
      <c r="J314" s="7" t="s">
        <v>14</v>
      </c>
    </row>
    <row r="315" spans="1:10" x14ac:dyDescent="0.3">
      <c r="A315" s="21" t="s">
        <v>15</v>
      </c>
      <c r="B315" s="22" t="str">
        <f>+B314</f>
        <v>*Evelio Alvarez Ruiz</v>
      </c>
      <c r="C315" s="23">
        <f>SUM(C288:C314)</f>
        <v>28859</v>
      </c>
      <c r="D315" s="23">
        <f t="shared" ref="D315:I315" si="13">SUM(D288:D314)</f>
        <v>956</v>
      </c>
      <c r="E315" s="23">
        <f t="shared" si="13"/>
        <v>6299.38</v>
      </c>
      <c r="F315" s="23">
        <f t="shared" si="13"/>
        <v>4940.0700000000015</v>
      </c>
      <c r="G315" s="23">
        <f t="shared" si="13"/>
        <v>40098.449999999997</v>
      </c>
      <c r="H315" s="23">
        <f t="shared" si="13"/>
        <v>5509.6400000000012</v>
      </c>
      <c r="I315" s="23">
        <f t="shared" si="13"/>
        <v>45608.09</v>
      </c>
      <c r="J315" s="24"/>
    </row>
    <row r="316" spans="1:10" x14ac:dyDescent="0.3">
      <c r="A316" s="10">
        <v>43441</v>
      </c>
      <c r="B316" t="s">
        <v>30</v>
      </c>
      <c r="C316" s="8">
        <v>720</v>
      </c>
      <c r="D316" s="7">
        <v>40</v>
      </c>
      <c r="E316" s="8">
        <v>82.65</v>
      </c>
      <c r="F316" s="8">
        <v>0</v>
      </c>
      <c r="G316" s="8">
        <v>802.65</v>
      </c>
      <c r="H316" s="8">
        <v>161.02000000000001</v>
      </c>
      <c r="I316" s="8">
        <v>963.67</v>
      </c>
      <c r="J316" s="7">
        <v>100108</v>
      </c>
    </row>
    <row r="317" spans="1:10" x14ac:dyDescent="0.3">
      <c r="A317" s="10">
        <v>43455</v>
      </c>
      <c r="B317" t="s">
        <v>30</v>
      </c>
      <c r="C317" s="8">
        <v>1328</v>
      </c>
      <c r="D317" s="7">
        <v>80</v>
      </c>
      <c r="E317" s="8">
        <v>325.92</v>
      </c>
      <c r="F317" s="8">
        <v>400</v>
      </c>
      <c r="G317" s="8">
        <v>2053.92</v>
      </c>
      <c r="H317" s="8">
        <v>367.16</v>
      </c>
      <c r="I317" s="8">
        <v>2421.08</v>
      </c>
      <c r="J317" s="7">
        <v>100116</v>
      </c>
    </row>
    <row r="318" spans="1:10" x14ac:dyDescent="0.3">
      <c r="A318" s="10">
        <v>43469</v>
      </c>
      <c r="B318" t="s">
        <v>30</v>
      </c>
      <c r="C318" s="8">
        <v>1153</v>
      </c>
      <c r="D318" s="7">
        <v>80</v>
      </c>
      <c r="E318" s="8">
        <v>274.3</v>
      </c>
      <c r="F318" s="8">
        <v>350</v>
      </c>
      <c r="G318" s="8">
        <v>1777.3</v>
      </c>
      <c r="H318" s="8">
        <v>339.33</v>
      </c>
      <c r="I318" s="8">
        <v>2116.63</v>
      </c>
      <c r="J318" s="7">
        <v>100122</v>
      </c>
    </row>
    <row r="319" spans="1:10" x14ac:dyDescent="0.3">
      <c r="A319" s="10">
        <v>43469</v>
      </c>
      <c r="B319" t="s">
        <v>30</v>
      </c>
      <c r="C319" s="8">
        <v>0</v>
      </c>
      <c r="D319" s="7">
        <v>0</v>
      </c>
      <c r="E319" s="8">
        <v>0</v>
      </c>
      <c r="F319" s="8">
        <v>0</v>
      </c>
      <c r="G319" s="8">
        <v>0</v>
      </c>
      <c r="H319" s="8">
        <v>0</v>
      </c>
      <c r="I319" s="8">
        <v>0</v>
      </c>
    </row>
    <row r="320" spans="1:10" x14ac:dyDescent="0.3">
      <c r="A320" s="10">
        <v>43483</v>
      </c>
      <c r="B320" t="s">
        <v>30</v>
      </c>
      <c r="C320" s="8">
        <v>0</v>
      </c>
      <c r="D320" s="7">
        <v>0</v>
      </c>
      <c r="E320" s="8">
        <v>0</v>
      </c>
      <c r="F320" s="8">
        <v>0</v>
      </c>
      <c r="G320" s="8">
        <v>0</v>
      </c>
      <c r="H320" s="8">
        <v>0</v>
      </c>
      <c r="I320" s="8">
        <v>0</v>
      </c>
    </row>
    <row r="321" spans="1:10" x14ac:dyDescent="0.3">
      <c r="A321" s="10">
        <v>43483</v>
      </c>
      <c r="B321" t="s">
        <v>30</v>
      </c>
      <c r="C321" s="8">
        <v>1136</v>
      </c>
      <c r="D321" s="7">
        <v>80</v>
      </c>
      <c r="E321" s="8">
        <v>180.53</v>
      </c>
      <c r="F321" s="8">
        <v>430</v>
      </c>
      <c r="G321" s="8">
        <v>1746.53</v>
      </c>
      <c r="H321" s="8">
        <v>336.26</v>
      </c>
      <c r="I321" s="8">
        <v>2082.79</v>
      </c>
      <c r="J321" s="7">
        <v>100131</v>
      </c>
    </row>
    <row r="322" spans="1:10" x14ac:dyDescent="0.3">
      <c r="A322" s="10">
        <v>43497</v>
      </c>
      <c r="B322" t="s">
        <v>30</v>
      </c>
      <c r="C322" s="8">
        <v>1759</v>
      </c>
      <c r="D322" s="7">
        <v>80</v>
      </c>
      <c r="E322" s="8">
        <v>507.49</v>
      </c>
      <c r="F322" s="8">
        <v>523</v>
      </c>
      <c r="G322" s="8">
        <v>2789.49</v>
      </c>
      <c r="H322" s="8">
        <v>441.16</v>
      </c>
      <c r="I322" s="8">
        <v>3230.65</v>
      </c>
      <c r="J322" s="7">
        <v>100140</v>
      </c>
    </row>
    <row r="323" spans="1:10" x14ac:dyDescent="0.3">
      <c r="A323" s="10">
        <v>43511</v>
      </c>
      <c r="B323" t="s">
        <v>30</v>
      </c>
      <c r="C323" s="8">
        <v>1900</v>
      </c>
      <c r="D323" s="7">
        <v>80</v>
      </c>
      <c r="E323" s="8">
        <v>209.19</v>
      </c>
      <c r="F323" s="8">
        <v>0</v>
      </c>
      <c r="G323" s="8">
        <v>2109.19</v>
      </c>
      <c r="H323" s="8">
        <v>364.19</v>
      </c>
      <c r="I323" s="8">
        <v>2473.38</v>
      </c>
      <c r="J323" s="7" t="s">
        <v>14</v>
      </c>
    </row>
    <row r="324" spans="1:10" x14ac:dyDescent="0.3">
      <c r="A324" s="10">
        <v>43525</v>
      </c>
      <c r="B324" t="s">
        <v>30</v>
      </c>
      <c r="C324" s="8">
        <v>1320</v>
      </c>
      <c r="D324" s="7">
        <v>80</v>
      </c>
      <c r="E324" s="8">
        <v>204.28</v>
      </c>
      <c r="F324" s="8">
        <v>523</v>
      </c>
      <c r="G324" s="8">
        <v>2047.28</v>
      </c>
      <c r="H324" s="8">
        <v>354.21</v>
      </c>
      <c r="I324" s="8">
        <v>2401.4899999999998</v>
      </c>
      <c r="J324" s="7">
        <v>100159</v>
      </c>
    </row>
    <row r="325" spans="1:10" x14ac:dyDescent="0.3">
      <c r="A325" s="10">
        <v>43539</v>
      </c>
      <c r="B325" t="s">
        <v>30</v>
      </c>
      <c r="C325" s="8">
        <v>1776</v>
      </c>
      <c r="D325" s="7">
        <v>80</v>
      </c>
      <c r="E325" s="8">
        <v>342.13</v>
      </c>
      <c r="F325" s="8">
        <v>0</v>
      </c>
      <c r="G325" s="8">
        <v>2118.13</v>
      </c>
      <c r="H325" s="8">
        <v>360.9</v>
      </c>
      <c r="I325" s="8">
        <v>2479.0300000000002</v>
      </c>
      <c r="J325" s="7" t="s">
        <v>14</v>
      </c>
    </row>
    <row r="326" spans="1:10" x14ac:dyDescent="0.3">
      <c r="A326" s="10">
        <v>43553</v>
      </c>
      <c r="B326" t="s">
        <v>30</v>
      </c>
      <c r="C326" s="8">
        <v>0</v>
      </c>
      <c r="D326" s="7">
        <v>0</v>
      </c>
      <c r="E326" s="8">
        <v>0</v>
      </c>
      <c r="F326" s="8">
        <v>0</v>
      </c>
      <c r="G326" s="8">
        <v>0</v>
      </c>
      <c r="H326" s="8">
        <v>-24.9</v>
      </c>
      <c r="I326" s="8">
        <v>-24.9</v>
      </c>
    </row>
    <row r="327" spans="1:10" x14ac:dyDescent="0.3">
      <c r="A327" s="10">
        <v>43553</v>
      </c>
      <c r="B327" t="s">
        <v>30</v>
      </c>
      <c r="C327" s="8">
        <v>1379</v>
      </c>
      <c r="D327" s="7">
        <v>80</v>
      </c>
      <c r="E327" s="8">
        <v>330.49</v>
      </c>
      <c r="F327" s="8">
        <v>350</v>
      </c>
      <c r="G327" s="8">
        <v>2059.4899999999998</v>
      </c>
      <c r="H327" s="8">
        <v>355.38</v>
      </c>
      <c r="I327" s="8">
        <v>2414.87</v>
      </c>
      <c r="J327" s="7" t="s">
        <v>14</v>
      </c>
    </row>
    <row r="328" spans="1:10" x14ac:dyDescent="0.3">
      <c r="A328" s="10">
        <v>43553</v>
      </c>
      <c r="B328" t="s">
        <v>30</v>
      </c>
      <c r="C328" s="8">
        <v>0</v>
      </c>
      <c r="D328" s="7">
        <v>0</v>
      </c>
      <c r="E328" s="8">
        <v>-0.01</v>
      </c>
      <c r="F328" s="8">
        <v>0.01</v>
      </c>
      <c r="G328" s="8">
        <v>0</v>
      </c>
      <c r="H328" s="8">
        <v>0</v>
      </c>
      <c r="I328" s="8">
        <v>0</v>
      </c>
    </row>
    <row r="329" spans="1:10" x14ac:dyDescent="0.3">
      <c r="A329" s="10">
        <v>43567</v>
      </c>
      <c r="B329" t="s">
        <v>30</v>
      </c>
      <c r="C329" s="8">
        <v>1632</v>
      </c>
      <c r="D329" s="7">
        <v>80</v>
      </c>
      <c r="E329" s="8">
        <v>316.32</v>
      </c>
      <c r="F329" s="8">
        <v>40</v>
      </c>
      <c r="G329" s="8">
        <v>1988.32</v>
      </c>
      <c r="H329" s="8">
        <v>348.64</v>
      </c>
      <c r="I329" s="8">
        <v>2336.96</v>
      </c>
      <c r="J329" s="7" t="s">
        <v>14</v>
      </c>
    </row>
    <row r="330" spans="1:10" x14ac:dyDescent="0.3">
      <c r="A330" s="10">
        <v>43567</v>
      </c>
      <c r="B330" t="s">
        <v>30</v>
      </c>
      <c r="C330" s="8">
        <v>0</v>
      </c>
      <c r="D330" s="7">
        <v>0</v>
      </c>
      <c r="E330" s="8">
        <v>-0.01</v>
      </c>
      <c r="F330" s="8">
        <v>0.01</v>
      </c>
      <c r="G330" s="8">
        <v>0</v>
      </c>
      <c r="H330" s="8">
        <v>0</v>
      </c>
      <c r="I330" s="8">
        <v>0</v>
      </c>
    </row>
    <row r="331" spans="1:10" x14ac:dyDescent="0.3">
      <c r="A331" s="10">
        <v>43567</v>
      </c>
      <c r="B331" t="s">
        <v>30</v>
      </c>
      <c r="C331" s="8">
        <v>0</v>
      </c>
      <c r="D331" s="7">
        <v>0</v>
      </c>
      <c r="E331" s="8">
        <v>0</v>
      </c>
      <c r="F331" s="8">
        <v>0</v>
      </c>
      <c r="G331" s="8">
        <v>0</v>
      </c>
      <c r="H331" s="8">
        <v>-3.38</v>
      </c>
      <c r="I331" s="8">
        <v>-3.38</v>
      </c>
    </row>
    <row r="332" spans="1:10" x14ac:dyDescent="0.3">
      <c r="A332" s="10">
        <v>43581</v>
      </c>
      <c r="B332" t="s">
        <v>30</v>
      </c>
      <c r="C332" s="8">
        <v>1222</v>
      </c>
      <c r="D332" s="7">
        <v>80</v>
      </c>
      <c r="E332" s="8">
        <v>316.29000000000002</v>
      </c>
      <c r="F332" s="8">
        <v>450</v>
      </c>
      <c r="G332" s="8">
        <v>1988.29</v>
      </c>
      <c r="H332" s="8">
        <v>345.25</v>
      </c>
      <c r="I332" s="8">
        <v>2333.54</v>
      </c>
      <c r="J332" s="7" t="s">
        <v>14</v>
      </c>
    </row>
    <row r="333" spans="1:10" x14ac:dyDescent="0.3">
      <c r="A333" s="10">
        <v>43595</v>
      </c>
      <c r="B333" t="s">
        <v>30</v>
      </c>
      <c r="C333" s="8">
        <v>1840</v>
      </c>
      <c r="D333" s="7">
        <v>80</v>
      </c>
      <c r="E333" s="8">
        <v>358.04</v>
      </c>
      <c r="F333" s="8">
        <v>0</v>
      </c>
      <c r="G333" s="8">
        <v>2198.04</v>
      </c>
      <c r="H333" s="8">
        <v>364.74</v>
      </c>
      <c r="I333" s="8">
        <v>2562.7800000000002</v>
      </c>
      <c r="J333" s="7" t="s">
        <v>14</v>
      </c>
    </row>
    <row r="334" spans="1:10" x14ac:dyDescent="0.3">
      <c r="A334" s="10">
        <v>43609</v>
      </c>
      <c r="B334" t="s">
        <v>30</v>
      </c>
      <c r="C334" s="8">
        <v>1698</v>
      </c>
      <c r="D334" s="7">
        <v>80</v>
      </c>
      <c r="E334" s="8">
        <v>455.46</v>
      </c>
      <c r="F334" s="8">
        <v>462</v>
      </c>
      <c r="G334" s="8">
        <v>2615.46</v>
      </c>
      <c r="H334" s="8">
        <v>403.51</v>
      </c>
      <c r="I334" s="8">
        <v>3018.97</v>
      </c>
      <c r="J334" s="7" t="s">
        <v>14</v>
      </c>
    </row>
    <row r="335" spans="1:10" x14ac:dyDescent="0.3">
      <c r="A335" s="10">
        <v>43623</v>
      </c>
      <c r="B335" t="s">
        <v>30</v>
      </c>
      <c r="C335" s="8">
        <v>1790</v>
      </c>
      <c r="D335" s="7">
        <v>80</v>
      </c>
      <c r="E335" s="8">
        <v>345.61</v>
      </c>
      <c r="F335" s="8">
        <v>0</v>
      </c>
      <c r="G335" s="8">
        <v>2135.61</v>
      </c>
      <c r="H335" s="8">
        <v>358.94</v>
      </c>
      <c r="I335" s="8">
        <v>2494.5500000000002</v>
      </c>
      <c r="J335" s="7" t="s">
        <v>14</v>
      </c>
    </row>
    <row r="336" spans="1:10" x14ac:dyDescent="0.3">
      <c r="A336" s="10">
        <v>43637</v>
      </c>
      <c r="B336" t="s">
        <v>30</v>
      </c>
      <c r="C336" s="8">
        <v>1790</v>
      </c>
      <c r="D336" s="7">
        <v>80</v>
      </c>
      <c r="E336" s="8">
        <v>326.94</v>
      </c>
      <c r="F336" s="8">
        <v>440</v>
      </c>
      <c r="G336" s="8">
        <v>2556.94</v>
      </c>
      <c r="H336" s="8">
        <v>398.08</v>
      </c>
      <c r="I336" s="8">
        <v>2955.02</v>
      </c>
      <c r="J336" s="7" t="s">
        <v>14</v>
      </c>
    </row>
    <row r="337" spans="1:10" x14ac:dyDescent="0.3">
      <c r="A337" s="10">
        <v>43651</v>
      </c>
      <c r="B337" t="s">
        <v>30</v>
      </c>
      <c r="C337" s="8">
        <v>1740</v>
      </c>
      <c r="D337" s="7">
        <v>80</v>
      </c>
      <c r="E337" s="8">
        <v>195.45</v>
      </c>
      <c r="F337" s="8">
        <v>0</v>
      </c>
      <c r="G337" s="8">
        <v>1935.45</v>
      </c>
      <c r="H337" s="8">
        <v>340.34</v>
      </c>
      <c r="I337" s="8">
        <v>2275.79</v>
      </c>
      <c r="J337" s="7" t="s">
        <v>14</v>
      </c>
    </row>
    <row r="338" spans="1:10" x14ac:dyDescent="0.3">
      <c r="A338" s="10">
        <v>43665</v>
      </c>
      <c r="B338" t="s">
        <v>30</v>
      </c>
      <c r="C338" s="8">
        <v>1620</v>
      </c>
      <c r="D338" s="7">
        <v>80</v>
      </c>
      <c r="E338" s="8">
        <v>192.35</v>
      </c>
      <c r="F338" s="8">
        <v>0</v>
      </c>
      <c r="G338" s="8">
        <v>1812.35</v>
      </c>
      <c r="H338" s="8">
        <v>328.91</v>
      </c>
      <c r="I338" s="8">
        <v>2141.2600000000002</v>
      </c>
      <c r="J338" s="7" t="s">
        <v>14</v>
      </c>
    </row>
    <row r="339" spans="1:10" x14ac:dyDescent="0.3">
      <c r="A339" s="10">
        <v>43679</v>
      </c>
      <c r="B339" t="s">
        <v>30</v>
      </c>
      <c r="C339" s="8">
        <v>1460</v>
      </c>
      <c r="D339" s="7">
        <v>80</v>
      </c>
      <c r="E339" s="8">
        <v>253.39</v>
      </c>
      <c r="F339" s="8">
        <v>439.98</v>
      </c>
      <c r="G339" s="8">
        <v>2153.37</v>
      </c>
      <c r="H339" s="8">
        <v>360.59</v>
      </c>
      <c r="I339" s="8">
        <v>2513.96</v>
      </c>
      <c r="J339" s="7" t="s">
        <v>14</v>
      </c>
    </row>
    <row r="340" spans="1:10" x14ac:dyDescent="0.3">
      <c r="A340" s="10">
        <v>43693</v>
      </c>
      <c r="B340" t="s">
        <v>30</v>
      </c>
      <c r="C340" s="8">
        <v>2020</v>
      </c>
      <c r="D340" s="7">
        <v>80</v>
      </c>
      <c r="E340" s="8">
        <v>279.57</v>
      </c>
      <c r="F340" s="8">
        <v>0</v>
      </c>
      <c r="G340" s="8">
        <v>2299.5700000000002</v>
      </c>
      <c r="H340" s="8">
        <v>374.17</v>
      </c>
      <c r="I340" s="8">
        <v>2673.74</v>
      </c>
      <c r="J340" s="7" t="s">
        <v>14</v>
      </c>
    </row>
    <row r="341" spans="1:10" x14ac:dyDescent="0.3">
      <c r="A341" s="10">
        <v>43707</v>
      </c>
      <c r="B341" t="s">
        <v>30</v>
      </c>
      <c r="C341" s="8">
        <v>1510</v>
      </c>
      <c r="D341" s="7">
        <v>80</v>
      </c>
      <c r="E341" s="8">
        <v>264.29000000000002</v>
      </c>
      <c r="F341" s="8">
        <v>440</v>
      </c>
      <c r="G341" s="8">
        <v>2214.29</v>
      </c>
      <c r="H341" s="8">
        <v>366.24</v>
      </c>
      <c r="I341" s="8">
        <v>2580.5300000000002</v>
      </c>
      <c r="J341" s="7" t="s">
        <v>14</v>
      </c>
    </row>
    <row r="342" spans="1:10" x14ac:dyDescent="0.3">
      <c r="A342" s="10">
        <v>43721</v>
      </c>
      <c r="B342" t="s">
        <v>30</v>
      </c>
      <c r="C342" s="8">
        <v>1690</v>
      </c>
      <c r="D342" s="7">
        <v>80</v>
      </c>
      <c r="E342" s="8">
        <v>207.61</v>
      </c>
      <c r="F342" s="8">
        <v>0</v>
      </c>
      <c r="G342" s="8">
        <v>1897.61</v>
      </c>
      <c r="H342" s="8">
        <v>336.83</v>
      </c>
      <c r="I342" s="8">
        <v>2234.44</v>
      </c>
      <c r="J342" s="7" t="s">
        <v>14</v>
      </c>
    </row>
    <row r="343" spans="1:10" x14ac:dyDescent="0.3">
      <c r="A343" s="10">
        <v>43735</v>
      </c>
      <c r="B343" t="s">
        <v>30</v>
      </c>
      <c r="C343" s="8">
        <v>1849</v>
      </c>
      <c r="D343" s="7">
        <v>80</v>
      </c>
      <c r="E343" s="8">
        <v>341.59</v>
      </c>
      <c r="F343" s="8">
        <v>440</v>
      </c>
      <c r="G343" s="8">
        <v>2630.59</v>
      </c>
      <c r="H343" s="8">
        <v>404.92</v>
      </c>
      <c r="I343" s="8">
        <v>3035.51</v>
      </c>
      <c r="J343" s="7" t="s">
        <v>14</v>
      </c>
    </row>
    <row r="344" spans="1:10" x14ac:dyDescent="0.3">
      <c r="A344" s="10">
        <v>43749</v>
      </c>
      <c r="B344" t="s">
        <v>30</v>
      </c>
      <c r="C344" s="8">
        <v>2383</v>
      </c>
      <c r="D344" s="7">
        <v>80</v>
      </c>
      <c r="E344" s="8">
        <v>364.96</v>
      </c>
      <c r="F344" s="8">
        <v>0</v>
      </c>
      <c r="G344" s="8">
        <v>2747.96</v>
      </c>
      <c r="H344" s="8">
        <v>415.84</v>
      </c>
      <c r="I344" s="8">
        <v>3163.8</v>
      </c>
      <c r="J344" s="7" t="s">
        <v>14</v>
      </c>
    </row>
    <row r="345" spans="1:10" x14ac:dyDescent="0.3">
      <c r="A345" s="10">
        <v>43763</v>
      </c>
      <c r="B345" t="s">
        <v>30</v>
      </c>
      <c r="C345" s="8">
        <v>2016</v>
      </c>
      <c r="D345" s="7">
        <v>80</v>
      </c>
      <c r="E345" s="8">
        <v>278.69</v>
      </c>
      <c r="F345" s="8">
        <v>0</v>
      </c>
      <c r="G345" s="8">
        <v>2294.69</v>
      </c>
      <c r="H345" s="8">
        <v>373.71</v>
      </c>
      <c r="I345" s="8">
        <v>2668.4</v>
      </c>
      <c r="J345" s="7" t="s">
        <v>14</v>
      </c>
    </row>
    <row r="346" spans="1:10" x14ac:dyDescent="0.3">
      <c r="A346" s="10">
        <v>43777</v>
      </c>
      <c r="B346" t="s">
        <v>30</v>
      </c>
      <c r="C346" s="8">
        <v>2373</v>
      </c>
      <c r="D346" s="7">
        <v>80</v>
      </c>
      <c r="E346" s="8">
        <v>362.47</v>
      </c>
      <c r="F346" s="8">
        <v>0</v>
      </c>
      <c r="G346" s="8">
        <v>2735.47</v>
      </c>
      <c r="H346" s="8">
        <v>397.42</v>
      </c>
      <c r="I346" s="8">
        <v>3132.89</v>
      </c>
      <c r="J346" s="7" t="s">
        <v>14</v>
      </c>
    </row>
    <row r="347" spans="1:10" x14ac:dyDescent="0.3">
      <c r="A347" s="10">
        <v>43791</v>
      </c>
      <c r="B347" t="s">
        <v>30</v>
      </c>
      <c r="C347" s="8">
        <v>1592</v>
      </c>
      <c r="D347" s="7">
        <v>80</v>
      </c>
      <c r="E347" s="8">
        <v>282.17</v>
      </c>
      <c r="F347" s="8">
        <v>440</v>
      </c>
      <c r="G347" s="8">
        <v>2314.17</v>
      </c>
      <c r="H347" s="8">
        <v>337.57</v>
      </c>
      <c r="I347" s="8">
        <v>2651.74</v>
      </c>
      <c r="J347" s="7" t="s">
        <v>14</v>
      </c>
    </row>
    <row r="348" spans="1:10" x14ac:dyDescent="0.3">
      <c r="A348" s="10">
        <v>43805</v>
      </c>
      <c r="B348" t="s">
        <v>30</v>
      </c>
      <c r="C348" s="8">
        <v>2604</v>
      </c>
      <c r="D348" s="7">
        <v>80</v>
      </c>
      <c r="E348" s="8">
        <v>419.87</v>
      </c>
      <c r="F348" s="8">
        <v>0</v>
      </c>
      <c r="G348" s="8">
        <v>3023.87</v>
      </c>
      <c r="H348" s="8">
        <v>391.87</v>
      </c>
      <c r="I348" s="8">
        <v>3415.74</v>
      </c>
      <c r="J348" s="7" t="s">
        <v>14</v>
      </c>
    </row>
    <row r="349" spans="1:10" x14ac:dyDescent="0.3">
      <c r="A349" s="10">
        <v>43819</v>
      </c>
      <c r="B349" t="s">
        <v>30</v>
      </c>
      <c r="C349" s="8">
        <v>2167</v>
      </c>
      <c r="D349" s="7">
        <v>80</v>
      </c>
      <c r="E349" s="8">
        <v>311.62</v>
      </c>
      <c r="F349" s="8">
        <v>0</v>
      </c>
      <c r="G349" s="8">
        <v>2478.62</v>
      </c>
      <c r="H349" s="8">
        <v>350.15</v>
      </c>
      <c r="I349" s="8">
        <v>2828.77</v>
      </c>
      <c r="J349" s="7" t="s">
        <v>14</v>
      </c>
    </row>
    <row r="350" spans="1:10" x14ac:dyDescent="0.3">
      <c r="A350" s="10">
        <v>43833</v>
      </c>
      <c r="B350" t="s">
        <v>30</v>
      </c>
      <c r="C350" s="8">
        <v>2387</v>
      </c>
      <c r="D350" s="7">
        <v>80</v>
      </c>
      <c r="E350" s="8">
        <v>360.43</v>
      </c>
      <c r="F350" s="8">
        <v>0</v>
      </c>
      <c r="G350" s="8">
        <v>2747.43</v>
      </c>
      <c r="H350" s="8">
        <v>432.26</v>
      </c>
      <c r="I350" s="8">
        <v>3179.69</v>
      </c>
      <c r="J350" s="7" t="s">
        <v>14</v>
      </c>
    </row>
    <row r="351" spans="1:10" x14ac:dyDescent="0.3">
      <c r="A351" s="10">
        <v>43847</v>
      </c>
      <c r="B351" t="s">
        <v>30</v>
      </c>
      <c r="C351" s="8">
        <v>2121</v>
      </c>
      <c r="D351" s="7">
        <v>80</v>
      </c>
      <c r="E351" s="8">
        <v>244.13</v>
      </c>
      <c r="F351" s="8">
        <v>0</v>
      </c>
      <c r="G351" s="8">
        <v>2365.13</v>
      </c>
      <c r="H351" s="8">
        <v>370.3</v>
      </c>
      <c r="I351" s="8">
        <v>2735.43</v>
      </c>
      <c r="J351" s="7" t="s">
        <v>14</v>
      </c>
    </row>
    <row r="352" spans="1:10" x14ac:dyDescent="0.3">
      <c r="A352" s="10">
        <v>43861</v>
      </c>
      <c r="B352" t="s">
        <v>30</v>
      </c>
      <c r="C352" s="8">
        <v>0</v>
      </c>
      <c r="D352" s="7">
        <v>0</v>
      </c>
      <c r="E352" s="8">
        <v>0</v>
      </c>
      <c r="F352" s="8">
        <v>0</v>
      </c>
      <c r="G352" s="8">
        <v>0</v>
      </c>
      <c r="H352" s="8">
        <v>-170.82</v>
      </c>
      <c r="I352" s="8">
        <v>-170.82</v>
      </c>
    </row>
    <row r="353" spans="1:10" x14ac:dyDescent="0.3">
      <c r="A353" s="10">
        <v>43861</v>
      </c>
      <c r="B353" t="s">
        <v>30</v>
      </c>
      <c r="C353" s="8">
        <v>3101</v>
      </c>
      <c r="D353" s="7">
        <v>80</v>
      </c>
      <c r="E353" s="8">
        <v>430.81</v>
      </c>
      <c r="F353" s="8">
        <v>0</v>
      </c>
      <c r="G353" s="8">
        <v>3531.81</v>
      </c>
      <c r="H353" s="8">
        <v>461.41</v>
      </c>
      <c r="I353" s="8">
        <v>3993.22</v>
      </c>
      <c r="J353" s="7" t="s">
        <v>14</v>
      </c>
    </row>
    <row r="354" spans="1:10" x14ac:dyDescent="0.3">
      <c r="A354" s="10">
        <v>43875</v>
      </c>
      <c r="B354" t="s">
        <v>30</v>
      </c>
      <c r="C354" s="8">
        <v>2154</v>
      </c>
      <c r="D354" s="7">
        <v>80</v>
      </c>
      <c r="E354" s="8">
        <v>247.49</v>
      </c>
      <c r="F354" s="8">
        <v>35</v>
      </c>
      <c r="G354" s="8">
        <v>2436.4899999999998</v>
      </c>
      <c r="H354" s="8">
        <v>315.79000000000002</v>
      </c>
      <c r="I354" s="8">
        <v>2752.28</v>
      </c>
      <c r="J354" s="7" t="s">
        <v>14</v>
      </c>
    </row>
    <row r="355" spans="1:10" x14ac:dyDescent="0.3">
      <c r="A355" s="10">
        <v>43889</v>
      </c>
      <c r="B355" t="s">
        <v>30</v>
      </c>
      <c r="C355" s="8">
        <v>2376</v>
      </c>
      <c r="D355" s="7">
        <v>80</v>
      </c>
      <c r="E355" s="8">
        <v>280.95999999999998</v>
      </c>
      <c r="F355" s="8">
        <v>0</v>
      </c>
      <c r="G355" s="8">
        <v>2656.96</v>
      </c>
      <c r="H355" s="8">
        <v>333.15</v>
      </c>
      <c r="I355" s="8">
        <v>2990.11</v>
      </c>
      <c r="J355" s="7" t="s">
        <v>14</v>
      </c>
    </row>
    <row r="356" spans="1:10" x14ac:dyDescent="0.3">
      <c r="A356" s="10">
        <v>43903</v>
      </c>
      <c r="B356" t="s">
        <v>30</v>
      </c>
      <c r="C356" s="8">
        <v>2233</v>
      </c>
      <c r="D356" s="7">
        <v>80</v>
      </c>
      <c r="E356" s="8">
        <v>255.37</v>
      </c>
      <c r="F356" s="8">
        <v>0</v>
      </c>
      <c r="G356" s="8">
        <v>2488.37</v>
      </c>
      <c r="H356" s="8">
        <v>319.87</v>
      </c>
      <c r="I356" s="8">
        <v>2808.24</v>
      </c>
      <c r="J356" s="7" t="s">
        <v>14</v>
      </c>
    </row>
    <row r="357" spans="1:10" x14ac:dyDescent="0.3">
      <c r="A357" s="10">
        <v>43917</v>
      </c>
      <c r="B357" t="s">
        <v>30</v>
      </c>
      <c r="C357" s="8">
        <v>0</v>
      </c>
      <c r="D357" s="7">
        <v>0</v>
      </c>
      <c r="E357" s="8">
        <v>0</v>
      </c>
      <c r="F357" s="8">
        <v>0</v>
      </c>
      <c r="G357" s="8">
        <v>0</v>
      </c>
      <c r="H357" s="8">
        <v>238.23</v>
      </c>
      <c r="I357" s="8">
        <v>238.23</v>
      </c>
    </row>
    <row r="358" spans="1:10" x14ac:dyDescent="0.3">
      <c r="A358" s="10">
        <v>43917</v>
      </c>
      <c r="B358" t="s">
        <v>30</v>
      </c>
      <c r="C358" s="8">
        <v>1968.54</v>
      </c>
      <c r="D358" s="7">
        <v>86</v>
      </c>
      <c r="E358" s="8">
        <v>256.45999999999998</v>
      </c>
      <c r="F358" s="8">
        <v>0</v>
      </c>
      <c r="G358" s="8">
        <v>2225</v>
      </c>
      <c r="H358" s="8">
        <v>327.56</v>
      </c>
      <c r="I358" s="8">
        <v>2552.56</v>
      </c>
      <c r="J358" s="7" t="s">
        <v>14</v>
      </c>
    </row>
    <row r="359" spans="1:10" x14ac:dyDescent="0.3">
      <c r="A359" s="10">
        <v>43917</v>
      </c>
      <c r="B359" t="s">
        <v>30</v>
      </c>
      <c r="C359" s="8">
        <v>0</v>
      </c>
      <c r="D359" s="7">
        <v>0</v>
      </c>
      <c r="E359" s="8">
        <v>0</v>
      </c>
      <c r="F359" s="8">
        <v>0</v>
      </c>
      <c r="G359" s="8">
        <v>0</v>
      </c>
      <c r="H359" s="8">
        <v>1.69</v>
      </c>
      <c r="I359" s="8">
        <v>1.69</v>
      </c>
    </row>
    <row r="360" spans="1:10" x14ac:dyDescent="0.3">
      <c r="A360" s="10">
        <v>43917</v>
      </c>
      <c r="B360" t="s">
        <v>30</v>
      </c>
      <c r="C360" s="8">
        <v>0</v>
      </c>
      <c r="D360" s="7">
        <v>0</v>
      </c>
      <c r="E360" s="8">
        <v>0</v>
      </c>
      <c r="F360" s="8">
        <v>0</v>
      </c>
      <c r="G360" s="8">
        <v>0</v>
      </c>
      <c r="H360" s="8">
        <v>-258.29000000000002</v>
      </c>
      <c r="I360" s="8">
        <v>-258.29000000000002</v>
      </c>
    </row>
    <row r="361" spans="1:10" x14ac:dyDescent="0.3">
      <c r="A361" s="21" t="s">
        <v>15</v>
      </c>
      <c r="B361" s="22" t="str">
        <f>+B360</f>
        <v>*Hector A. Cespedes Rivera</v>
      </c>
      <c r="C361" s="23">
        <f>SUM(C316:C360)</f>
        <v>63807.54</v>
      </c>
      <c r="D361" s="23">
        <f t="shared" ref="D361:I361" si="14">SUM(D334:D360)</f>
        <v>1846</v>
      </c>
      <c r="E361" s="23">
        <f t="shared" si="14"/>
        <v>6957.6900000000005</v>
      </c>
      <c r="F361" s="23">
        <f t="shared" si="14"/>
        <v>2696.98</v>
      </c>
      <c r="G361" s="23">
        <f t="shared" si="14"/>
        <v>56297.21</v>
      </c>
      <c r="H361" s="23">
        <f t="shared" si="14"/>
        <v>8310.239999999998</v>
      </c>
      <c r="I361" s="23">
        <f t="shared" si="14"/>
        <v>64607.45</v>
      </c>
      <c r="J361" s="24"/>
    </row>
    <row r="362" spans="1:10" x14ac:dyDescent="0.3">
      <c r="A362" s="10">
        <v>43441</v>
      </c>
      <c r="B362" t="s">
        <v>31</v>
      </c>
      <c r="C362" s="8">
        <v>720</v>
      </c>
      <c r="D362" s="7">
        <v>40</v>
      </c>
      <c r="E362" s="8">
        <v>87.41</v>
      </c>
      <c r="F362" s="8">
        <v>0</v>
      </c>
      <c r="G362" s="8">
        <v>807.41</v>
      </c>
      <c r="H362" s="8">
        <v>161.49</v>
      </c>
      <c r="I362" s="8">
        <v>968.9</v>
      </c>
      <c r="J362" s="7">
        <v>100106</v>
      </c>
    </row>
    <row r="363" spans="1:10" x14ac:dyDescent="0.3">
      <c r="A363" s="10">
        <v>43455</v>
      </c>
      <c r="B363" t="s">
        <v>31</v>
      </c>
      <c r="C363" s="8">
        <v>1310</v>
      </c>
      <c r="D363" s="7">
        <v>80</v>
      </c>
      <c r="E363" s="8">
        <v>338.82</v>
      </c>
      <c r="F363" s="8">
        <v>400</v>
      </c>
      <c r="G363" s="8">
        <v>2048.8200000000002</v>
      </c>
      <c r="H363" s="8">
        <v>366.67</v>
      </c>
      <c r="I363" s="8">
        <v>2415.4899999999998</v>
      </c>
      <c r="J363" s="7">
        <v>100114</v>
      </c>
    </row>
    <row r="364" spans="1:10" x14ac:dyDescent="0.3">
      <c r="A364" s="10">
        <v>43469</v>
      </c>
      <c r="B364" t="s">
        <v>31</v>
      </c>
      <c r="C364" s="8">
        <v>0</v>
      </c>
      <c r="D364" s="7">
        <v>0</v>
      </c>
      <c r="E364" s="8">
        <v>-0.01</v>
      </c>
      <c r="F364" s="8">
        <v>0.01</v>
      </c>
      <c r="G364" s="8">
        <v>0</v>
      </c>
      <c r="H364" s="8">
        <v>0</v>
      </c>
      <c r="I364" s="8">
        <v>0</v>
      </c>
    </row>
    <row r="365" spans="1:10" x14ac:dyDescent="0.3">
      <c r="A365" s="10">
        <v>43469</v>
      </c>
      <c r="B365" t="s">
        <v>31</v>
      </c>
      <c r="C365" s="8">
        <v>1054</v>
      </c>
      <c r="D365" s="7">
        <v>80</v>
      </c>
      <c r="E365" s="8">
        <v>289.27</v>
      </c>
      <c r="F365" s="8">
        <v>440</v>
      </c>
      <c r="G365" s="8">
        <v>1783.27</v>
      </c>
      <c r="H365" s="8">
        <v>339.94</v>
      </c>
      <c r="I365" s="8">
        <v>2123.21</v>
      </c>
      <c r="J365" s="7">
        <v>100120</v>
      </c>
    </row>
    <row r="366" spans="1:10" x14ac:dyDescent="0.3">
      <c r="A366" s="10">
        <v>43469</v>
      </c>
      <c r="B366" t="s">
        <v>31</v>
      </c>
      <c r="C366" s="8">
        <v>0</v>
      </c>
      <c r="D366" s="7">
        <v>0</v>
      </c>
      <c r="E366" s="8">
        <v>0</v>
      </c>
      <c r="F366" s="8">
        <v>0</v>
      </c>
      <c r="G366" s="8">
        <v>0</v>
      </c>
      <c r="H366" s="8">
        <v>0</v>
      </c>
      <c r="I366" s="8">
        <v>0</v>
      </c>
    </row>
    <row r="367" spans="1:10" x14ac:dyDescent="0.3">
      <c r="A367" s="10">
        <v>43483</v>
      </c>
      <c r="B367" t="s">
        <v>31</v>
      </c>
      <c r="C367" s="8">
        <v>1136</v>
      </c>
      <c r="D367" s="7">
        <v>80</v>
      </c>
      <c r="E367" s="8">
        <v>180.52</v>
      </c>
      <c r="F367" s="8">
        <v>430</v>
      </c>
      <c r="G367" s="8">
        <v>1746.52</v>
      </c>
      <c r="H367" s="8">
        <v>336.24</v>
      </c>
      <c r="I367" s="8">
        <v>2082.7600000000002</v>
      </c>
      <c r="J367" s="7">
        <v>100129</v>
      </c>
    </row>
    <row r="368" spans="1:10" x14ac:dyDescent="0.3">
      <c r="A368" s="10">
        <v>43483</v>
      </c>
      <c r="B368" t="s">
        <v>31</v>
      </c>
      <c r="C368" s="8">
        <v>0</v>
      </c>
      <c r="D368" s="7">
        <v>0</v>
      </c>
      <c r="E368" s="8">
        <v>0</v>
      </c>
      <c r="F368" s="8">
        <v>0</v>
      </c>
      <c r="G368" s="8">
        <v>0</v>
      </c>
      <c r="H368" s="8">
        <v>0</v>
      </c>
      <c r="I368" s="8">
        <v>0</v>
      </c>
    </row>
    <row r="369" spans="1:10" x14ac:dyDescent="0.3">
      <c r="A369" s="10">
        <v>43497</v>
      </c>
      <c r="B369" t="s">
        <v>31</v>
      </c>
      <c r="C369" s="8">
        <v>0</v>
      </c>
      <c r="D369" s="7">
        <v>0</v>
      </c>
      <c r="E369" s="8">
        <v>-0.01</v>
      </c>
      <c r="F369" s="8">
        <v>0.01</v>
      </c>
      <c r="G369" s="8">
        <v>0</v>
      </c>
      <c r="H369" s="8">
        <v>0</v>
      </c>
      <c r="I369" s="8">
        <v>0</v>
      </c>
    </row>
    <row r="370" spans="1:10" x14ac:dyDescent="0.3">
      <c r="A370" s="10">
        <v>43497</v>
      </c>
      <c r="B370" t="s">
        <v>31</v>
      </c>
      <c r="C370" s="8">
        <v>1298</v>
      </c>
      <c r="D370" s="7">
        <v>80</v>
      </c>
      <c r="E370" s="8">
        <v>272.86</v>
      </c>
      <c r="F370" s="8">
        <v>130</v>
      </c>
      <c r="G370" s="8">
        <v>1700.86</v>
      </c>
      <c r="H370" s="8">
        <v>331.64</v>
      </c>
      <c r="I370" s="8">
        <v>2032.5</v>
      </c>
      <c r="J370" s="7">
        <v>100138</v>
      </c>
    </row>
    <row r="371" spans="1:10" x14ac:dyDescent="0.3">
      <c r="A371" s="10">
        <v>43511</v>
      </c>
      <c r="B371" t="s">
        <v>31</v>
      </c>
      <c r="C371" s="8">
        <v>1640</v>
      </c>
      <c r="D371" s="7">
        <v>80</v>
      </c>
      <c r="E371" s="8">
        <v>216.91</v>
      </c>
      <c r="F371" s="8">
        <v>350</v>
      </c>
      <c r="G371" s="8">
        <v>2206.91</v>
      </c>
      <c r="H371" s="8">
        <v>379.93</v>
      </c>
      <c r="I371" s="8">
        <v>2586.84</v>
      </c>
      <c r="J371" s="7" t="s">
        <v>14</v>
      </c>
    </row>
    <row r="372" spans="1:10" x14ac:dyDescent="0.3">
      <c r="A372" s="10">
        <v>43511</v>
      </c>
      <c r="B372" t="s">
        <v>31</v>
      </c>
      <c r="C372" s="8">
        <v>0</v>
      </c>
      <c r="D372" s="7">
        <v>0</v>
      </c>
      <c r="E372" s="8">
        <v>-0.01</v>
      </c>
      <c r="F372" s="8">
        <v>0.01</v>
      </c>
      <c r="G372" s="8">
        <v>0</v>
      </c>
      <c r="H372" s="8">
        <v>0</v>
      </c>
      <c r="I372" s="8">
        <v>0</v>
      </c>
    </row>
    <row r="373" spans="1:10" x14ac:dyDescent="0.3">
      <c r="A373" s="10">
        <v>43523</v>
      </c>
      <c r="B373" t="s">
        <v>31</v>
      </c>
      <c r="C373" s="8">
        <v>1280</v>
      </c>
      <c r="D373" s="7">
        <v>0</v>
      </c>
      <c r="E373" s="8">
        <v>184.51</v>
      </c>
      <c r="F373" s="8">
        <v>0</v>
      </c>
      <c r="G373" s="8">
        <v>1464.51</v>
      </c>
      <c r="H373" s="8">
        <v>138.55000000000001</v>
      </c>
      <c r="I373" s="8">
        <v>1603.06</v>
      </c>
      <c r="J373" s="7" t="s">
        <v>14</v>
      </c>
    </row>
    <row r="374" spans="1:10" x14ac:dyDescent="0.3">
      <c r="A374" s="10">
        <v>43539</v>
      </c>
      <c r="B374" t="s">
        <v>31</v>
      </c>
      <c r="C374" s="8">
        <v>0</v>
      </c>
      <c r="D374" s="7">
        <v>0</v>
      </c>
      <c r="E374" s="8">
        <v>-0.01</v>
      </c>
      <c r="F374" s="8">
        <v>0.01</v>
      </c>
      <c r="G374" s="8">
        <v>0</v>
      </c>
      <c r="H374" s="8">
        <v>0</v>
      </c>
      <c r="I374" s="8">
        <v>0</v>
      </c>
    </row>
    <row r="375" spans="1:10" x14ac:dyDescent="0.3">
      <c r="A375" s="10">
        <v>43539</v>
      </c>
      <c r="B375" t="s">
        <v>31</v>
      </c>
      <c r="C375" s="8">
        <v>1870</v>
      </c>
      <c r="D375" s="7">
        <v>80</v>
      </c>
      <c r="E375" s="8">
        <v>382.7</v>
      </c>
      <c r="F375" s="8">
        <v>0</v>
      </c>
      <c r="G375" s="8">
        <v>2252.6999999999998</v>
      </c>
      <c r="H375" s="8">
        <v>373.64</v>
      </c>
      <c r="I375" s="8">
        <v>2626.34</v>
      </c>
      <c r="J375" s="7" t="s">
        <v>14</v>
      </c>
    </row>
    <row r="376" spans="1:10" x14ac:dyDescent="0.3">
      <c r="A376" s="10">
        <v>43553</v>
      </c>
      <c r="B376" t="s">
        <v>31</v>
      </c>
      <c r="C376" s="8">
        <v>0</v>
      </c>
      <c r="D376" s="7">
        <v>0</v>
      </c>
      <c r="E376" s="8">
        <v>0</v>
      </c>
      <c r="F376" s="8">
        <v>0</v>
      </c>
      <c r="G376" s="8">
        <v>0</v>
      </c>
      <c r="H376" s="8">
        <v>-22.11</v>
      </c>
      <c r="I376" s="8">
        <v>-22.11</v>
      </c>
    </row>
    <row r="377" spans="1:10" x14ac:dyDescent="0.3">
      <c r="A377" s="10">
        <v>43553</v>
      </c>
      <c r="B377" t="s">
        <v>31</v>
      </c>
      <c r="C377" s="8">
        <v>1554</v>
      </c>
      <c r="D377" s="7">
        <v>74</v>
      </c>
      <c r="E377" s="8">
        <v>300.20999999999998</v>
      </c>
      <c r="F377" s="8">
        <v>0</v>
      </c>
      <c r="G377" s="8">
        <v>1854.21</v>
      </c>
      <c r="H377" s="8">
        <v>323.91000000000003</v>
      </c>
      <c r="I377" s="8">
        <v>2178.12</v>
      </c>
      <c r="J377" s="7" t="s">
        <v>14</v>
      </c>
    </row>
    <row r="378" spans="1:10" x14ac:dyDescent="0.3">
      <c r="A378" s="10">
        <v>43553</v>
      </c>
      <c r="B378" t="s">
        <v>31</v>
      </c>
      <c r="C378" s="8">
        <v>0</v>
      </c>
      <c r="D378" s="7">
        <v>0</v>
      </c>
      <c r="E378" s="8">
        <v>-0.01</v>
      </c>
      <c r="F378" s="8">
        <v>0.01</v>
      </c>
      <c r="G378" s="8">
        <v>0</v>
      </c>
      <c r="H378" s="8">
        <v>0</v>
      </c>
      <c r="I378" s="8">
        <v>0</v>
      </c>
    </row>
    <row r="379" spans="1:10" x14ac:dyDescent="0.3">
      <c r="A379" s="10">
        <v>43567</v>
      </c>
      <c r="B379" t="s">
        <v>31</v>
      </c>
      <c r="C379" s="8">
        <v>1808</v>
      </c>
      <c r="D379" s="7">
        <v>80</v>
      </c>
      <c r="E379" s="8">
        <v>377.23</v>
      </c>
      <c r="F379" s="8">
        <v>40</v>
      </c>
      <c r="G379" s="8">
        <v>2225.23</v>
      </c>
      <c r="H379" s="8">
        <v>371.05</v>
      </c>
      <c r="I379" s="8">
        <v>2596.2800000000002</v>
      </c>
      <c r="J379" s="7" t="s">
        <v>14</v>
      </c>
    </row>
    <row r="380" spans="1:10" x14ac:dyDescent="0.3">
      <c r="A380" s="10">
        <v>43567</v>
      </c>
      <c r="B380" t="s">
        <v>31</v>
      </c>
      <c r="C380" s="8">
        <v>0</v>
      </c>
      <c r="D380" s="7">
        <v>0</v>
      </c>
      <c r="E380" s="8">
        <v>-0.01</v>
      </c>
      <c r="F380" s="8">
        <v>0.01</v>
      </c>
      <c r="G380" s="8">
        <v>0</v>
      </c>
      <c r="H380" s="8">
        <v>0</v>
      </c>
      <c r="I380" s="8">
        <v>0</v>
      </c>
    </row>
    <row r="381" spans="1:10" x14ac:dyDescent="0.3">
      <c r="A381" s="10">
        <v>43567</v>
      </c>
      <c r="B381" t="s">
        <v>31</v>
      </c>
      <c r="C381" s="8">
        <v>0</v>
      </c>
      <c r="D381" s="7">
        <v>0</v>
      </c>
      <c r="E381" s="8">
        <v>0</v>
      </c>
      <c r="F381" s="8">
        <v>0</v>
      </c>
      <c r="G381" s="8">
        <v>0</v>
      </c>
      <c r="H381" s="8">
        <v>-3.78</v>
      </c>
      <c r="I381" s="8">
        <v>-3.78</v>
      </c>
    </row>
    <row r="382" spans="1:10" x14ac:dyDescent="0.3">
      <c r="A382" s="10">
        <v>43581</v>
      </c>
      <c r="B382" t="s">
        <v>31</v>
      </c>
      <c r="C382" s="8">
        <v>1838</v>
      </c>
      <c r="D382" s="7">
        <v>80</v>
      </c>
      <c r="E382" s="8">
        <v>377.21</v>
      </c>
      <c r="F382" s="8">
        <v>10</v>
      </c>
      <c r="G382" s="8">
        <v>2225.21</v>
      </c>
      <c r="H382" s="8">
        <v>367.26</v>
      </c>
      <c r="I382" s="8">
        <v>2592.4699999999998</v>
      </c>
      <c r="J382" s="7" t="s">
        <v>14</v>
      </c>
    </row>
    <row r="383" spans="1:10" x14ac:dyDescent="0.3">
      <c r="A383" s="10">
        <v>43595</v>
      </c>
      <c r="B383" t="s">
        <v>31</v>
      </c>
      <c r="C383" s="8">
        <v>1932</v>
      </c>
      <c r="D383" s="7">
        <v>80</v>
      </c>
      <c r="E383" s="8">
        <v>398.11</v>
      </c>
      <c r="F383" s="8">
        <v>0</v>
      </c>
      <c r="G383" s="8">
        <v>2330.11</v>
      </c>
      <c r="H383" s="8">
        <v>377.01</v>
      </c>
      <c r="I383" s="8">
        <v>2707.12</v>
      </c>
      <c r="J383" s="7" t="s">
        <v>14</v>
      </c>
    </row>
    <row r="384" spans="1:10" x14ac:dyDescent="0.3">
      <c r="A384" s="10">
        <v>43609</v>
      </c>
      <c r="B384" t="s">
        <v>31</v>
      </c>
      <c r="C384" s="8">
        <v>2151</v>
      </c>
      <c r="D384" s="7">
        <v>80</v>
      </c>
      <c r="E384" s="8">
        <v>457.98</v>
      </c>
      <c r="F384" s="8">
        <v>22</v>
      </c>
      <c r="G384" s="8">
        <v>2630.98</v>
      </c>
      <c r="H384" s="8">
        <v>404.97</v>
      </c>
      <c r="I384" s="8">
        <v>3035.95</v>
      </c>
      <c r="J384" s="7" t="s">
        <v>14</v>
      </c>
    </row>
    <row r="385" spans="1:10" x14ac:dyDescent="0.3">
      <c r="A385" s="10">
        <v>43623</v>
      </c>
      <c r="B385" t="s">
        <v>31</v>
      </c>
      <c r="C385" s="8">
        <v>1879</v>
      </c>
      <c r="D385" s="7">
        <v>80</v>
      </c>
      <c r="E385" s="8">
        <v>384.92</v>
      </c>
      <c r="F385" s="8">
        <v>0</v>
      </c>
      <c r="G385" s="8">
        <v>2263.92</v>
      </c>
      <c r="H385" s="8">
        <v>370.84</v>
      </c>
      <c r="I385" s="8">
        <v>2634.76</v>
      </c>
      <c r="J385" s="7" t="s">
        <v>14</v>
      </c>
    </row>
    <row r="386" spans="1:10" x14ac:dyDescent="0.3">
      <c r="A386" s="10">
        <v>43637</v>
      </c>
      <c r="B386" t="s">
        <v>31</v>
      </c>
      <c r="C386" s="8">
        <v>2320</v>
      </c>
      <c r="D386" s="7">
        <v>80</v>
      </c>
      <c r="E386" s="8">
        <v>349.31</v>
      </c>
      <c r="F386" s="8">
        <v>0</v>
      </c>
      <c r="G386" s="8">
        <v>2669.31</v>
      </c>
      <c r="H386" s="8">
        <v>408.53</v>
      </c>
      <c r="I386" s="8">
        <v>3077.84</v>
      </c>
      <c r="J386" s="7" t="s">
        <v>14</v>
      </c>
    </row>
    <row r="387" spans="1:10" x14ac:dyDescent="0.3">
      <c r="A387" s="10">
        <v>43651</v>
      </c>
      <c r="B387" t="s">
        <v>31</v>
      </c>
      <c r="C387" s="8">
        <v>1785</v>
      </c>
      <c r="D387" s="7">
        <v>80</v>
      </c>
      <c r="E387" s="8">
        <v>199.31</v>
      </c>
      <c r="F387" s="8">
        <v>0</v>
      </c>
      <c r="G387" s="8">
        <v>1984.31</v>
      </c>
      <c r="H387" s="8">
        <v>344.89</v>
      </c>
      <c r="I387" s="8">
        <v>2329.1999999999998</v>
      </c>
      <c r="J387" s="7" t="s">
        <v>14</v>
      </c>
    </row>
    <row r="388" spans="1:10" x14ac:dyDescent="0.3">
      <c r="A388" s="10">
        <v>43665</v>
      </c>
      <c r="B388" t="s">
        <v>31</v>
      </c>
      <c r="C388" s="8">
        <v>1701</v>
      </c>
      <c r="D388" s="7">
        <v>80</v>
      </c>
      <c r="E388" s="8">
        <v>209.99</v>
      </c>
      <c r="F388" s="8">
        <v>0</v>
      </c>
      <c r="G388" s="8">
        <v>1910.99</v>
      </c>
      <c r="H388" s="8">
        <v>338.06</v>
      </c>
      <c r="I388" s="8">
        <v>2249.0500000000002</v>
      </c>
      <c r="J388" s="7" t="s">
        <v>14</v>
      </c>
    </row>
    <row r="389" spans="1:10" x14ac:dyDescent="0.3">
      <c r="A389" s="10">
        <v>43679</v>
      </c>
      <c r="B389" t="s">
        <v>31</v>
      </c>
      <c r="C389" s="8">
        <v>2131</v>
      </c>
      <c r="D389" s="7">
        <v>80</v>
      </c>
      <c r="E389" s="8">
        <v>303.75</v>
      </c>
      <c r="F389" s="8">
        <v>-0.06</v>
      </c>
      <c r="G389" s="8">
        <v>2434.69</v>
      </c>
      <c r="H389" s="8">
        <v>386.73</v>
      </c>
      <c r="I389" s="8">
        <v>2821.42</v>
      </c>
      <c r="J389" s="7" t="s">
        <v>14</v>
      </c>
    </row>
    <row r="390" spans="1:10" x14ac:dyDescent="0.3">
      <c r="A390" s="10">
        <v>43693</v>
      </c>
      <c r="B390" t="s">
        <v>31</v>
      </c>
      <c r="C390" s="8">
        <v>2247</v>
      </c>
      <c r="D390" s="7">
        <v>80</v>
      </c>
      <c r="E390" s="8">
        <v>331.17</v>
      </c>
      <c r="F390" s="8">
        <v>0</v>
      </c>
      <c r="G390" s="8">
        <v>2578.17</v>
      </c>
      <c r="H390" s="8">
        <v>400.06</v>
      </c>
      <c r="I390" s="8">
        <v>2978.23</v>
      </c>
      <c r="J390" s="7" t="s">
        <v>14</v>
      </c>
    </row>
    <row r="391" spans="1:10" x14ac:dyDescent="0.3">
      <c r="A391" s="10">
        <v>43707</v>
      </c>
      <c r="B391" t="s">
        <v>31</v>
      </c>
      <c r="C391" s="8">
        <v>2194.0100000000002</v>
      </c>
      <c r="D391" s="7">
        <v>80</v>
      </c>
      <c r="E391" s="8">
        <v>317.99</v>
      </c>
      <c r="F391" s="8">
        <v>0</v>
      </c>
      <c r="G391" s="8">
        <v>2512</v>
      </c>
      <c r="H391" s="8">
        <v>393.9</v>
      </c>
      <c r="I391" s="8">
        <v>2905.9</v>
      </c>
      <c r="J391" s="7" t="s">
        <v>14</v>
      </c>
    </row>
    <row r="392" spans="1:10" x14ac:dyDescent="0.3">
      <c r="A392" s="10">
        <v>43721</v>
      </c>
      <c r="B392" t="s">
        <v>31</v>
      </c>
      <c r="C392" s="8">
        <v>1850</v>
      </c>
      <c r="D392" s="7">
        <v>80</v>
      </c>
      <c r="E392" s="8">
        <v>242.49</v>
      </c>
      <c r="F392" s="8">
        <v>0</v>
      </c>
      <c r="G392" s="8">
        <v>2092.4899999999998</v>
      </c>
      <c r="H392" s="8">
        <v>354.93</v>
      </c>
      <c r="I392" s="8">
        <v>2447.42</v>
      </c>
      <c r="J392" s="7" t="s">
        <v>14</v>
      </c>
    </row>
    <row r="393" spans="1:10" x14ac:dyDescent="0.3">
      <c r="A393" s="21" t="s">
        <v>15</v>
      </c>
      <c r="B393" s="22" t="str">
        <f>+B392</f>
        <v>*Israel Avila Gasca</v>
      </c>
      <c r="C393" s="23">
        <f>SUM(C362:C392)</f>
        <v>35698.01</v>
      </c>
      <c r="D393" s="23">
        <f t="shared" ref="D393:I393" si="15">SUM(D362:D392)</f>
        <v>1554</v>
      </c>
      <c r="E393" s="23">
        <f t="shared" si="15"/>
        <v>6202.61</v>
      </c>
      <c r="F393" s="23">
        <f t="shared" si="15"/>
        <v>1822</v>
      </c>
      <c r="G393" s="23">
        <f t="shared" si="15"/>
        <v>43722.619999999995</v>
      </c>
      <c r="H393" s="23">
        <f t="shared" si="15"/>
        <v>7244.3500000000013</v>
      </c>
      <c r="I393" s="23">
        <f t="shared" si="15"/>
        <v>50966.97</v>
      </c>
      <c r="J393" s="24"/>
    </row>
    <row r="394" spans="1:10" x14ac:dyDescent="0.3">
      <c r="A394" s="10">
        <v>43427</v>
      </c>
      <c r="B394" t="s">
        <v>32</v>
      </c>
      <c r="C394" s="8">
        <v>1161</v>
      </c>
      <c r="D394" s="7">
        <v>80</v>
      </c>
      <c r="E394" s="8">
        <v>142.19</v>
      </c>
      <c r="F394" s="8">
        <v>0</v>
      </c>
      <c r="G394" s="8">
        <v>1303.19</v>
      </c>
      <c r="H394" s="8">
        <v>291.64999999999998</v>
      </c>
      <c r="I394" s="8">
        <v>1594.84</v>
      </c>
      <c r="J394" s="7" t="s">
        <v>14</v>
      </c>
    </row>
    <row r="395" spans="1:10" x14ac:dyDescent="0.3">
      <c r="A395" s="10">
        <v>43441</v>
      </c>
      <c r="B395" t="s">
        <v>32</v>
      </c>
      <c r="C395" s="8">
        <v>802</v>
      </c>
      <c r="D395" s="7">
        <v>69</v>
      </c>
      <c r="E395" s="8">
        <v>247.45</v>
      </c>
      <c r="F395" s="8">
        <v>440</v>
      </c>
      <c r="G395" s="8">
        <v>1489.45</v>
      </c>
      <c r="H395" s="8">
        <v>288.29000000000002</v>
      </c>
      <c r="I395" s="8">
        <v>1777.74</v>
      </c>
      <c r="J395" s="7" t="s">
        <v>14</v>
      </c>
    </row>
    <row r="396" spans="1:10" x14ac:dyDescent="0.3">
      <c r="A396" s="10">
        <v>43455</v>
      </c>
      <c r="B396" t="s">
        <v>32</v>
      </c>
      <c r="C396" s="8">
        <v>1085</v>
      </c>
      <c r="D396" s="7">
        <v>80</v>
      </c>
      <c r="E396" s="8">
        <v>322.24</v>
      </c>
      <c r="F396" s="8">
        <v>433</v>
      </c>
      <c r="G396" s="8">
        <v>1840.24</v>
      </c>
      <c r="H396" s="8">
        <v>345.68</v>
      </c>
      <c r="I396" s="8">
        <v>2185.92</v>
      </c>
      <c r="J396" s="7" t="s">
        <v>14</v>
      </c>
    </row>
    <row r="397" spans="1:10" x14ac:dyDescent="0.3">
      <c r="A397" s="10">
        <v>43469</v>
      </c>
      <c r="B397" t="s">
        <v>32</v>
      </c>
      <c r="C397" s="8">
        <v>1054</v>
      </c>
      <c r="D397" s="7">
        <v>80</v>
      </c>
      <c r="E397" s="8">
        <v>320.48</v>
      </c>
      <c r="F397" s="8">
        <v>440</v>
      </c>
      <c r="G397" s="8">
        <v>1814.48</v>
      </c>
      <c r="H397" s="8">
        <v>343.08</v>
      </c>
      <c r="I397" s="8">
        <v>2157.56</v>
      </c>
      <c r="J397" s="7" t="s">
        <v>14</v>
      </c>
    </row>
    <row r="398" spans="1:10" x14ac:dyDescent="0.3">
      <c r="A398" s="10">
        <v>43469</v>
      </c>
      <c r="B398" t="s">
        <v>32</v>
      </c>
      <c r="C398" s="8">
        <v>0</v>
      </c>
      <c r="D398" s="7">
        <v>0</v>
      </c>
      <c r="E398" s="8">
        <v>0</v>
      </c>
      <c r="F398" s="8">
        <v>0</v>
      </c>
      <c r="G398" s="8">
        <v>0</v>
      </c>
      <c r="H398" s="8">
        <v>0</v>
      </c>
      <c r="I398" s="8">
        <v>0</v>
      </c>
    </row>
    <row r="399" spans="1:10" x14ac:dyDescent="0.3">
      <c r="A399" s="10">
        <v>43469</v>
      </c>
      <c r="B399" t="s">
        <v>32</v>
      </c>
      <c r="C399" s="8">
        <v>0</v>
      </c>
      <c r="D399" s="7">
        <v>0</v>
      </c>
      <c r="E399" s="8">
        <v>-0.01</v>
      </c>
      <c r="F399" s="8">
        <v>0.01</v>
      </c>
      <c r="G399" s="8">
        <v>0</v>
      </c>
      <c r="H399" s="8">
        <v>0</v>
      </c>
      <c r="I399" s="8">
        <v>0</v>
      </c>
    </row>
    <row r="400" spans="1:10" x14ac:dyDescent="0.3">
      <c r="A400" s="10">
        <v>43483</v>
      </c>
      <c r="B400" t="s">
        <v>32</v>
      </c>
      <c r="C400" s="8">
        <v>136.26</v>
      </c>
      <c r="D400" s="7">
        <v>0</v>
      </c>
      <c r="E400" s="8">
        <v>11.68</v>
      </c>
      <c r="F400" s="8">
        <v>0</v>
      </c>
      <c r="G400" s="8">
        <v>147.94</v>
      </c>
      <c r="H400" s="8">
        <v>14.88</v>
      </c>
      <c r="I400" s="8">
        <v>162.82</v>
      </c>
      <c r="J400" s="7" t="s">
        <v>14</v>
      </c>
    </row>
    <row r="401" spans="1:10" x14ac:dyDescent="0.3">
      <c r="A401" s="10">
        <v>43483</v>
      </c>
      <c r="B401" t="s">
        <v>32</v>
      </c>
      <c r="C401" s="8">
        <v>0</v>
      </c>
      <c r="D401" s="7">
        <v>0</v>
      </c>
      <c r="E401" s="8">
        <v>0</v>
      </c>
      <c r="F401" s="8">
        <v>0</v>
      </c>
      <c r="G401" s="8">
        <v>0</v>
      </c>
      <c r="H401" s="8">
        <v>0</v>
      </c>
      <c r="I401" s="8">
        <v>0</v>
      </c>
    </row>
    <row r="402" spans="1:10" x14ac:dyDescent="0.3">
      <c r="A402" s="10">
        <v>43483</v>
      </c>
      <c r="B402" t="s">
        <v>32</v>
      </c>
      <c r="C402" s="8">
        <v>1399.74</v>
      </c>
      <c r="D402" s="7">
        <v>80</v>
      </c>
      <c r="E402" s="8">
        <v>166.26</v>
      </c>
      <c r="F402" s="8">
        <v>0</v>
      </c>
      <c r="G402" s="8">
        <v>1566</v>
      </c>
      <c r="H402" s="8">
        <v>318.07</v>
      </c>
      <c r="I402" s="8">
        <v>1884.07</v>
      </c>
      <c r="J402" s="7" t="s">
        <v>14</v>
      </c>
    </row>
    <row r="403" spans="1:10" x14ac:dyDescent="0.3">
      <c r="A403" s="10">
        <v>43497</v>
      </c>
      <c r="B403" t="s">
        <v>32</v>
      </c>
      <c r="C403" s="8">
        <v>2152</v>
      </c>
      <c r="D403" s="7">
        <v>80</v>
      </c>
      <c r="E403" s="8">
        <v>553.45000000000005</v>
      </c>
      <c r="F403" s="8">
        <v>0</v>
      </c>
      <c r="G403" s="8">
        <v>2705.45</v>
      </c>
      <c r="H403" s="8">
        <v>432.71</v>
      </c>
      <c r="I403" s="8">
        <v>3138.16</v>
      </c>
      <c r="J403" s="7" t="s">
        <v>14</v>
      </c>
    </row>
    <row r="404" spans="1:10" x14ac:dyDescent="0.3">
      <c r="A404" s="10">
        <v>43497</v>
      </c>
      <c r="B404" t="s">
        <v>32</v>
      </c>
      <c r="C404" s="8">
        <v>0</v>
      </c>
      <c r="D404" s="7">
        <v>0</v>
      </c>
      <c r="E404" s="8">
        <v>-0.01</v>
      </c>
      <c r="F404" s="8">
        <v>0.01</v>
      </c>
      <c r="G404" s="8">
        <v>0</v>
      </c>
      <c r="H404" s="8">
        <v>0</v>
      </c>
      <c r="I404" s="8">
        <v>0</v>
      </c>
    </row>
    <row r="405" spans="1:10" x14ac:dyDescent="0.3">
      <c r="A405" s="10">
        <v>43511</v>
      </c>
      <c r="B405" t="s">
        <v>32</v>
      </c>
      <c r="C405" s="8">
        <v>0</v>
      </c>
      <c r="D405" s="7">
        <v>0</v>
      </c>
      <c r="E405" s="8">
        <v>-0.01</v>
      </c>
      <c r="F405" s="8">
        <v>0.01</v>
      </c>
      <c r="G405" s="8">
        <v>0</v>
      </c>
      <c r="H405" s="8">
        <v>0</v>
      </c>
      <c r="I405" s="8">
        <v>0</v>
      </c>
    </row>
    <row r="406" spans="1:10" x14ac:dyDescent="0.3">
      <c r="A406" s="10">
        <v>43511</v>
      </c>
      <c r="B406" t="s">
        <v>32</v>
      </c>
      <c r="C406" s="8">
        <v>1743</v>
      </c>
      <c r="D406" s="7">
        <v>80</v>
      </c>
      <c r="E406" s="8">
        <v>195.71</v>
      </c>
      <c r="F406" s="8">
        <v>0</v>
      </c>
      <c r="G406" s="8">
        <v>1938.71</v>
      </c>
      <c r="H406" s="8">
        <v>348.54</v>
      </c>
      <c r="I406" s="8">
        <v>2287.25</v>
      </c>
      <c r="J406" s="7" t="s">
        <v>14</v>
      </c>
    </row>
    <row r="407" spans="1:10" x14ac:dyDescent="0.3">
      <c r="A407" s="10">
        <v>43525</v>
      </c>
      <c r="B407" t="s">
        <v>32</v>
      </c>
      <c r="C407" s="8">
        <v>0</v>
      </c>
      <c r="D407" s="7">
        <v>0</v>
      </c>
      <c r="E407" s="8">
        <v>-0.01</v>
      </c>
      <c r="F407" s="8">
        <v>0.01</v>
      </c>
      <c r="G407" s="8">
        <v>0</v>
      </c>
      <c r="H407" s="8">
        <v>0</v>
      </c>
      <c r="I407" s="8">
        <v>0</v>
      </c>
    </row>
    <row r="408" spans="1:10" x14ac:dyDescent="0.3">
      <c r="A408" s="10">
        <v>43525</v>
      </c>
      <c r="B408" t="s">
        <v>32</v>
      </c>
      <c r="C408" s="8">
        <v>1596</v>
      </c>
      <c r="D408" s="7">
        <v>80</v>
      </c>
      <c r="E408" s="8">
        <v>183.1</v>
      </c>
      <c r="F408" s="8">
        <v>0</v>
      </c>
      <c r="G408" s="8">
        <v>1779.1</v>
      </c>
      <c r="H408" s="8">
        <v>328.85</v>
      </c>
      <c r="I408" s="8">
        <v>2107.9499999999998</v>
      </c>
      <c r="J408" s="7">
        <v>100164</v>
      </c>
    </row>
    <row r="409" spans="1:10" x14ac:dyDescent="0.3">
      <c r="A409" s="10">
        <v>43539</v>
      </c>
      <c r="B409" t="s">
        <v>32</v>
      </c>
      <c r="C409" s="8">
        <v>2121</v>
      </c>
      <c r="D409" s="7">
        <v>80</v>
      </c>
      <c r="E409" s="8">
        <v>540.24</v>
      </c>
      <c r="F409" s="8">
        <v>0</v>
      </c>
      <c r="G409" s="8">
        <v>2661.24</v>
      </c>
      <c r="H409" s="8">
        <v>412.29</v>
      </c>
      <c r="I409" s="8">
        <v>3073.53</v>
      </c>
      <c r="J409" s="7" t="s">
        <v>14</v>
      </c>
    </row>
    <row r="410" spans="1:10" x14ac:dyDescent="0.3">
      <c r="A410" s="10">
        <v>43539</v>
      </c>
      <c r="B410" t="s">
        <v>32</v>
      </c>
      <c r="C410" s="8">
        <v>0</v>
      </c>
      <c r="D410" s="7">
        <v>0</v>
      </c>
      <c r="E410" s="8">
        <v>-0.01</v>
      </c>
      <c r="F410" s="8">
        <v>0.01</v>
      </c>
      <c r="G410" s="8">
        <v>0</v>
      </c>
      <c r="H410" s="8">
        <v>0</v>
      </c>
      <c r="I410" s="8">
        <v>0</v>
      </c>
    </row>
    <row r="411" spans="1:10" x14ac:dyDescent="0.3">
      <c r="A411" s="10">
        <v>43553</v>
      </c>
      <c r="B411" t="s">
        <v>32</v>
      </c>
      <c r="C411" s="8">
        <v>1344</v>
      </c>
      <c r="D411" s="7">
        <v>64</v>
      </c>
      <c r="E411" s="8">
        <v>272.58999999999997</v>
      </c>
      <c r="F411" s="8">
        <v>0</v>
      </c>
      <c r="G411" s="8">
        <v>1616.59</v>
      </c>
      <c r="H411" s="8">
        <v>281.36</v>
      </c>
      <c r="I411" s="8">
        <v>1897.95</v>
      </c>
      <c r="J411" s="7" t="s">
        <v>14</v>
      </c>
    </row>
    <row r="412" spans="1:10" x14ac:dyDescent="0.3">
      <c r="A412" s="10">
        <v>43553</v>
      </c>
      <c r="B412" t="s">
        <v>32</v>
      </c>
      <c r="C412" s="8">
        <v>0</v>
      </c>
      <c r="D412" s="7">
        <v>0</v>
      </c>
      <c r="E412" s="8">
        <v>0</v>
      </c>
      <c r="F412" s="8">
        <v>0</v>
      </c>
      <c r="G412" s="8">
        <v>0</v>
      </c>
      <c r="H412" s="8">
        <v>-24.19</v>
      </c>
      <c r="I412" s="8">
        <v>-24.19</v>
      </c>
    </row>
    <row r="413" spans="1:10" x14ac:dyDescent="0.3">
      <c r="A413" s="10">
        <v>43581</v>
      </c>
      <c r="B413" t="s">
        <v>32</v>
      </c>
      <c r="C413" s="8">
        <v>735</v>
      </c>
      <c r="D413" s="7">
        <v>35</v>
      </c>
      <c r="E413" s="8">
        <v>106.09</v>
      </c>
      <c r="F413" s="8">
        <v>0</v>
      </c>
      <c r="G413" s="8">
        <v>841.09</v>
      </c>
      <c r="H413" s="8">
        <v>148.37</v>
      </c>
      <c r="I413" s="8">
        <v>989.46</v>
      </c>
      <c r="J413" s="7" t="s">
        <v>14</v>
      </c>
    </row>
    <row r="414" spans="1:10" x14ac:dyDescent="0.3">
      <c r="A414" s="10">
        <v>43595</v>
      </c>
      <c r="B414" t="s">
        <v>32</v>
      </c>
      <c r="C414" s="8">
        <v>2488</v>
      </c>
      <c r="D414" s="7">
        <v>35</v>
      </c>
      <c r="E414" s="8">
        <v>662.68</v>
      </c>
      <c r="F414" s="8">
        <v>0</v>
      </c>
      <c r="G414" s="8">
        <v>3150.68</v>
      </c>
      <c r="H414" s="8">
        <v>362.93</v>
      </c>
      <c r="I414" s="8">
        <v>3513.61</v>
      </c>
      <c r="J414" s="7" t="s">
        <v>14</v>
      </c>
    </row>
    <row r="415" spans="1:10" x14ac:dyDescent="0.3">
      <c r="A415" s="10">
        <v>43609</v>
      </c>
      <c r="B415" t="s">
        <v>32</v>
      </c>
      <c r="C415" s="8">
        <v>2291</v>
      </c>
      <c r="D415" s="7">
        <v>80</v>
      </c>
      <c r="E415" s="8">
        <v>634.07000000000005</v>
      </c>
      <c r="F415" s="8">
        <v>50</v>
      </c>
      <c r="G415" s="8">
        <v>2975.07</v>
      </c>
      <c r="H415" s="8">
        <v>436.92</v>
      </c>
      <c r="I415" s="8">
        <v>3411.99</v>
      </c>
      <c r="J415" s="7" t="s">
        <v>14</v>
      </c>
    </row>
    <row r="416" spans="1:10" x14ac:dyDescent="0.3">
      <c r="A416" s="10">
        <v>43623</v>
      </c>
      <c r="B416" t="s">
        <v>32</v>
      </c>
      <c r="C416" s="8">
        <v>1933</v>
      </c>
      <c r="D416" s="7">
        <v>80</v>
      </c>
      <c r="E416" s="8">
        <v>472.81</v>
      </c>
      <c r="F416" s="8">
        <v>30</v>
      </c>
      <c r="G416" s="8">
        <v>2435.81</v>
      </c>
      <c r="H416" s="8">
        <v>386.83</v>
      </c>
      <c r="I416" s="8">
        <v>2822.64</v>
      </c>
      <c r="J416" s="7" t="s">
        <v>14</v>
      </c>
    </row>
    <row r="417" spans="1:10" x14ac:dyDescent="0.3">
      <c r="A417" s="10">
        <v>43637</v>
      </c>
      <c r="B417" t="s">
        <v>32</v>
      </c>
      <c r="C417" s="8">
        <v>2206</v>
      </c>
      <c r="D417" s="7">
        <v>80</v>
      </c>
      <c r="E417" s="8">
        <v>325.94</v>
      </c>
      <c r="F417" s="8">
        <v>20</v>
      </c>
      <c r="G417" s="8">
        <v>2551.94</v>
      </c>
      <c r="H417" s="8">
        <v>397.61</v>
      </c>
      <c r="I417" s="8">
        <v>2949.55</v>
      </c>
      <c r="J417" s="7" t="s">
        <v>14</v>
      </c>
    </row>
    <row r="418" spans="1:10" x14ac:dyDescent="0.3">
      <c r="A418" s="10">
        <v>43651</v>
      </c>
      <c r="B418" t="s">
        <v>32</v>
      </c>
      <c r="C418" s="8">
        <v>1765</v>
      </c>
      <c r="D418" s="7">
        <v>80</v>
      </c>
      <c r="E418" s="8">
        <v>230.5</v>
      </c>
      <c r="F418" s="8">
        <v>30</v>
      </c>
      <c r="G418" s="8">
        <v>2025.5</v>
      </c>
      <c r="H418" s="8">
        <v>348.72</v>
      </c>
      <c r="I418" s="8">
        <v>2374.2199999999998</v>
      </c>
      <c r="J418" s="7" t="s">
        <v>14</v>
      </c>
    </row>
    <row r="419" spans="1:10" x14ac:dyDescent="0.3">
      <c r="A419" s="10">
        <v>43665</v>
      </c>
      <c r="B419" t="s">
        <v>32</v>
      </c>
      <c r="C419" s="8">
        <v>1279</v>
      </c>
      <c r="D419" s="7">
        <v>80</v>
      </c>
      <c r="E419" s="8">
        <v>161.46</v>
      </c>
      <c r="F419" s="8">
        <v>65</v>
      </c>
      <c r="G419" s="8">
        <v>1505.46</v>
      </c>
      <c r="H419" s="8">
        <v>300.39</v>
      </c>
      <c r="I419" s="8">
        <v>1805.85</v>
      </c>
      <c r="J419" s="7" t="s">
        <v>14</v>
      </c>
    </row>
    <row r="420" spans="1:10" x14ac:dyDescent="0.3">
      <c r="A420" s="10">
        <v>43679</v>
      </c>
      <c r="B420" t="s">
        <v>32</v>
      </c>
      <c r="C420" s="8">
        <v>2123</v>
      </c>
      <c r="D420" s="7">
        <v>80</v>
      </c>
      <c r="E420" s="8">
        <v>312.92</v>
      </c>
      <c r="F420" s="8">
        <v>49.95</v>
      </c>
      <c r="G420" s="8">
        <v>2485.87</v>
      </c>
      <c r="H420" s="8">
        <v>391.48</v>
      </c>
      <c r="I420" s="8">
        <v>2877.35</v>
      </c>
      <c r="J420" s="7" t="s">
        <v>14</v>
      </c>
    </row>
    <row r="421" spans="1:10" x14ac:dyDescent="0.3">
      <c r="A421" s="10">
        <v>43693</v>
      </c>
      <c r="B421" t="s">
        <v>32</v>
      </c>
      <c r="C421" s="8">
        <v>2102</v>
      </c>
      <c r="D421" s="7">
        <v>80</v>
      </c>
      <c r="E421" s="8">
        <v>308.35000000000002</v>
      </c>
      <c r="F421" s="8">
        <v>50</v>
      </c>
      <c r="G421" s="8">
        <v>2460.35</v>
      </c>
      <c r="H421" s="8">
        <v>389.11</v>
      </c>
      <c r="I421" s="8">
        <v>2849.46</v>
      </c>
      <c r="J421" s="7" t="s">
        <v>14</v>
      </c>
    </row>
    <row r="422" spans="1:10" x14ac:dyDescent="0.3">
      <c r="A422" s="10">
        <v>43707</v>
      </c>
      <c r="B422" t="s">
        <v>32</v>
      </c>
      <c r="C422" s="8">
        <v>2333</v>
      </c>
      <c r="D422" s="7">
        <v>80</v>
      </c>
      <c r="E422" s="8">
        <v>364.94</v>
      </c>
      <c r="F422" s="8">
        <v>50</v>
      </c>
      <c r="G422" s="8">
        <v>2747.94</v>
      </c>
      <c r="H422" s="8">
        <v>415.82</v>
      </c>
      <c r="I422" s="8">
        <v>3163.76</v>
      </c>
      <c r="J422" s="7" t="s">
        <v>14</v>
      </c>
    </row>
    <row r="423" spans="1:10" x14ac:dyDescent="0.3">
      <c r="A423" s="10">
        <v>43721</v>
      </c>
      <c r="B423" t="s">
        <v>32</v>
      </c>
      <c r="C423" s="8">
        <v>1848</v>
      </c>
      <c r="D423" s="7">
        <v>80</v>
      </c>
      <c r="E423" s="8">
        <v>242.07</v>
      </c>
      <c r="F423" s="8">
        <v>0</v>
      </c>
      <c r="G423" s="8">
        <v>2090.0700000000002</v>
      </c>
      <c r="H423" s="8">
        <v>354.72</v>
      </c>
      <c r="I423" s="8">
        <v>2444.79</v>
      </c>
      <c r="J423" s="7" t="s">
        <v>14</v>
      </c>
    </row>
    <row r="424" spans="1:10" x14ac:dyDescent="0.3">
      <c r="A424" s="10">
        <v>43735</v>
      </c>
      <c r="B424" t="s">
        <v>32</v>
      </c>
      <c r="C424" s="8">
        <v>1870</v>
      </c>
      <c r="D424" s="7">
        <v>80</v>
      </c>
      <c r="E424" s="8">
        <v>246.85</v>
      </c>
      <c r="F424" s="8">
        <v>0</v>
      </c>
      <c r="G424" s="8">
        <v>2116.85</v>
      </c>
      <c r="H424" s="8">
        <v>357.18</v>
      </c>
      <c r="I424" s="8">
        <v>2474.0300000000002</v>
      </c>
      <c r="J424" s="7" t="s">
        <v>14</v>
      </c>
    </row>
    <row r="425" spans="1:10" x14ac:dyDescent="0.3">
      <c r="A425" s="10">
        <v>43749</v>
      </c>
      <c r="B425" t="s">
        <v>32</v>
      </c>
      <c r="C425" s="8">
        <v>1702</v>
      </c>
      <c r="D425" s="7">
        <v>80</v>
      </c>
      <c r="E425" s="8">
        <v>227.66</v>
      </c>
      <c r="F425" s="8">
        <v>80</v>
      </c>
      <c r="G425" s="8">
        <v>2009.66</v>
      </c>
      <c r="H425" s="8">
        <v>347.24</v>
      </c>
      <c r="I425" s="8">
        <v>2356.9</v>
      </c>
      <c r="J425" s="7" t="s">
        <v>14</v>
      </c>
    </row>
    <row r="426" spans="1:10" x14ac:dyDescent="0.3">
      <c r="A426" s="10">
        <v>43763</v>
      </c>
      <c r="B426" t="s">
        <v>32</v>
      </c>
      <c r="C426" s="8">
        <v>2008</v>
      </c>
      <c r="D426" s="7">
        <v>80</v>
      </c>
      <c r="E426" s="25">
        <v>287.86</v>
      </c>
      <c r="F426" s="8">
        <v>50</v>
      </c>
      <c r="G426" s="25">
        <v>2345.86</v>
      </c>
      <c r="H426" s="8">
        <v>378.47</v>
      </c>
      <c r="I426" s="8">
        <v>2724.33</v>
      </c>
      <c r="J426" s="7" t="s">
        <v>14</v>
      </c>
    </row>
    <row r="427" spans="1:10" x14ac:dyDescent="0.3">
      <c r="A427" s="10">
        <v>43777</v>
      </c>
      <c r="B427" t="s">
        <v>32</v>
      </c>
      <c r="C427" s="8">
        <v>2169</v>
      </c>
      <c r="D427" s="7">
        <v>80</v>
      </c>
      <c r="E427" s="8">
        <v>324.2</v>
      </c>
      <c r="F427" s="8">
        <v>50</v>
      </c>
      <c r="G427" s="8">
        <v>2543.1999999999998</v>
      </c>
      <c r="H427" s="8">
        <v>396.81</v>
      </c>
      <c r="I427" s="8">
        <v>2940.01</v>
      </c>
      <c r="J427" s="7" t="s">
        <v>14</v>
      </c>
    </row>
    <row r="428" spans="1:10" x14ac:dyDescent="0.3">
      <c r="A428" s="10">
        <v>43791</v>
      </c>
      <c r="B428" t="s">
        <v>32</v>
      </c>
      <c r="C428" s="8">
        <v>440</v>
      </c>
      <c r="D428" s="7">
        <v>20</v>
      </c>
      <c r="E428" s="8">
        <v>49.29</v>
      </c>
      <c r="F428" s="8">
        <v>0</v>
      </c>
      <c r="G428" s="8">
        <v>489.29</v>
      </c>
      <c r="H428" s="8">
        <v>85.59</v>
      </c>
      <c r="I428" s="8">
        <v>574.88</v>
      </c>
      <c r="J428" s="7" t="s">
        <v>14</v>
      </c>
    </row>
    <row r="429" spans="1:10" x14ac:dyDescent="0.3">
      <c r="A429" s="21" t="s">
        <v>15</v>
      </c>
      <c r="B429" s="22" t="str">
        <f>+B428</f>
        <v>*Ivan A. Ponce</v>
      </c>
      <c r="C429" s="23">
        <f>SUM(C394:C428)</f>
        <v>43886</v>
      </c>
      <c r="D429" s="23">
        <f t="shared" ref="D429:I429" si="16">SUM(D394:D428)</f>
        <v>1903</v>
      </c>
      <c r="E429" s="23">
        <f t="shared" si="16"/>
        <v>7913.03</v>
      </c>
      <c r="F429" s="23">
        <f t="shared" si="16"/>
        <v>1838</v>
      </c>
      <c r="G429" s="23">
        <f t="shared" si="16"/>
        <v>53637.03</v>
      </c>
      <c r="H429" s="23">
        <f t="shared" si="16"/>
        <v>8879.3999999999978</v>
      </c>
      <c r="I429" s="23">
        <f t="shared" si="16"/>
        <v>62516.43</v>
      </c>
      <c r="J429" s="24"/>
    </row>
    <row r="430" spans="1:10" x14ac:dyDescent="0.3">
      <c r="A430" s="10">
        <v>43749</v>
      </c>
      <c r="B430" t="s">
        <v>33</v>
      </c>
      <c r="C430" s="8">
        <v>1785</v>
      </c>
      <c r="D430" s="7">
        <v>80</v>
      </c>
      <c r="E430" s="8">
        <v>280.64999999999998</v>
      </c>
      <c r="F430" s="8">
        <v>240</v>
      </c>
      <c r="G430" s="8">
        <v>2305.65</v>
      </c>
      <c r="H430" s="8">
        <v>388.56</v>
      </c>
      <c r="I430" s="8">
        <v>2694.21</v>
      </c>
      <c r="J430" s="7">
        <v>100185</v>
      </c>
    </row>
    <row r="431" spans="1:10" x14ac:dyDescent="0.3">
      <c r="A431" s="10">
        <v>43763</v>
      </c>
      <c r="B431" t="s">
        <v>33</v>
      </c>
      <c r="C431" s="8">
        <v>1710</v>
      </c>
      <c r="D431" s="7">
        <v>80</v>
      </c>
      <c r="E431" s="8">
        <v>211.96</v>
      </c>
      <c r="F431" s="8">
        <v>0</v>
      </c>
      <c r="G431" s="8">
        <v>1921.96</v>
      </c>
      <c r="H431" s="8">
        <v>350.63</v>
      </c>
      <c r="I431" s="8">
        <v>2272.59</v>
      </c>
      <c r="J431" s="7">
        <v>100186</v>
      </c>
    </row>
    <row r="432" spans="1:10" x14ac:dyDescent="0.3">
      <c r="A432" s="10">
        <v>43777</v>
      </c>
      <c r="B432" t="s">
        <v>33</v>
      </c>
      <c r="C432" s="8">
        <v>1958</v>
      </c>
      <c r="D432" s="7">
        <v>80</v>
      </c>
      <c r="E432" s="8">
        <v>266.05</v>
      </c>
      <c r="F432" s="8">
        <v>0</v>
      </c>
      <c r="G432" s="8">
        <v>2224.0500000000002</v>
      </c>
      <c r="H432" s="8">
        <v>380.49</v>
      </c>
      <c r="I432" s="8">
        <v>2604.54</v>
      </c>
      <c r="J432" s="7" t="s">
        <v>14</v>
      </c>
    </row>
    <row r="433" spans="1:10" x14ac:dyDescent="0.3">
      <c r="A433" s="10">
        <v>43791</v>
      </c>
      <c r="B433" t="s">
        <v>33</v>
      </c>
      <c r="C433" s="8">
        <v>1862</v>
      </c>
      <c r="D433" s="7">
        <v>80</v>
      </c>
      <c r="E433" s="8">
        <v>245.11</v>
      </c>
      <c r="F433" s="8">
        <v>0</v>
      </c>
      <c r="G433" s="8">
        <v>2107.11</v>
      </c>
      <c r="H433" s="8">
        <v>359.57</v>
      </c>
      <c r="I433" s="8">
        <v>2466.6799999999998</v>
      </c>
      <c r="J433" s="7" t="s">
        <v>14</v>
      </c>
    </row>
    <row r="434" spans="1:10" x14ac:dyDescent="0.3">
      <c r="A434" s="10">
        <v>43805</v>
      </c>
      <c r="B434" t="s">
        <v>33</v>
      </c>
      <c r="C434" s="8">
        <v>1282</v>
      </c>
      <c r="D434" s="7">
        <v>80</v>
      </c>
      <c r="E434" s="8">
        <v>156.16</v>
      </c>
      <c r="F434" s="8">
        <v>0</v>
      </c>
      <c r="G434" s="8">
        <v>1438.16</v>
      </c>
      <c r="H434" s="8">
        <v>294.16000000000003</v>
      </c>
      <c r="I434" s="8">
        <v>1732.32</v>
      </c>
      <c r="J434" s="7" t="s">
        <v>14</v>
      </c>
    </row>
    <row r="435" spans="1:10" x14ac:dyDescent="0.3">
      <c r="A435" s="10">
        <v>43819</v>
      </c>
      <c r="B435" t="s">
        <v>33</v>
      </c>
      <c r="C435" s="8">
        <v>1700</v>
      </c>
      <c r="D435" s="7">
        <v>80</v>
      </c>
      <c r="E435" s="8">
        <v>209.78</v>
      </c>
      <c r="F435" s="8">
        <v>0</v>
      </c>
      <c r="G435" s="8">
        <v>1909.78</v>
      </c>
      <c r="H435" s="8">
        <v>337.96</v>
      </c>
      <c r="I435" s="8">
        <v>2247.7399999999998</v>
      </c>
      <c r="J435" s="7" t="s">
        <v>14</v>
      </c>
    </row>
    <row r="436" spans="1:10" x14ac:dyDescent="0.3">
      <c r="A436" s="10">
        <v>43833</v>
      </c>
      <c r="B436" t="s">
        <v>33</v>
      </c>
      <c r="C436" s="8">
        <v>1662</v>
      </c>
      <c r="D436" s="7">
        <v>80</v>
      </c>
      <c r="E436" s="8">
        <v>197.28</v>
      </c>
      <c r="F436" s="8">
        <v>0</v>
      </c>
      <c r="G436" s="8">
        <v>1859.28</v>
      </c>
      <c r="H436" s="8">
        <v>344.43</v>
      </c>
      <c r="I436" s="8">
        <v>2203.71</v>
      </c>
      <c r="J436" s="7" t="s">
        <v>14</v>
      </c>
    </row>
    <row r="437" spans="1:10" x14ac:dyDescent="0.3">
      <c r="A437" s="10">
        <v>43847</v>
      </c>
      <c r="B437" t="s">
        <v>33</v>
      </c>
      <c r="C437" s="8">
        <v>1073</v>
      </c>
      <c r="D437" s="7">
        <v>57</v>
      </c>
      <c r="E437" s="8">
        <v>115.07</v>
      </c>
      <c r="F437" s="8">
        <v>0</v>
      </c>
      <c r="G437" s="8">
        <v>1188.07</v>
      </c>
      <c r="H437" s="8">
        <v>220.48</v>
      </c>
      <c r="I437" s="8">
        <v>1408.55</v>
      </c>
      <c r="J437" s="7" t="s">
        <v>14</v>
      </c>
    </row>
    <row r="438" spans="1:10" x14ac:dyDescent="0.3">
      <c r="A438" s="10">
        <v>43861</v>
      </c>
      <c r="B438" t="s">
        <v>33</v>
      </c>
      <c r="C438" s="8">
        <v>1786</v>
      </c>
      <c r="D438" s="7">
        <v>80</v>
      </c>
      <c r="E438" s="8">
        <v>184.16</v>
      </c>
      <c r="F438" s="8">
        <v>0</v>
      </c>
      <c r="G438" s="8">
        <v>1970.16</v>
      </c>
      <c r="H438" s="8">
        <v>337.19</v>
      </c>
      <c r="I438" s="8">
        <v>2307.35</v>
      </c>
      <c r="J438" s="7" t="s">
        <v>14</v>
      </c>
    </row>
    <row r="439" spans="1:10" x14ac:dyDescent="0.3">
      <c r="A439" s="10">
        <v>43861</v>
      </c>
      <c r="B439" t="s">
        <v>33</v>
      </c>
      <c r="C439" s="8">
        <v>0</v>
      </c>
      <c r="D439" s="7">
        <v>0</v>
      </c>
      <c r="E439" s="8">
        <v>0</v>
      </c>
      <c r="F439" s="8">
        <v>0</v>
      </c>
      <c r="G439" s="8">
        <v>0</v>
      </c>
      <c r="H439" s="8">
        <v>-154.44999999999999</v>
      </c>
      <c r="I439" s="8">
        <v>-154.44999999999999</v>
      </c>
    </row>
    <row r="440" spans="1:10" x14ac:dyDescent="0.3">
      <c r="A440" s="10">
        <v>43861</v>
      </c>
      <c r="B440" t="s">
        <v>33</v>
      </c>
      <c r="C440" s="8">
        <v>0</v>
      </c>
      <c r="D440" s="7">
        <v>0</v>
      </c>
      <c r="E440" s="8">
        <v>0</v>
      </c>
      <c r="F440" s="8">
        <v>0</v>
      </c>
      <c r="G440" s="8">
        <v>0</v>
      </c>
      <c r="H440" s="8">
        <v>0.48</v>
      </c>
      <c r="I440" s="8">
        <v>0.48</v>
      </c>
    </row>
    <row r="441" spans="1:10" x14ac:dyDescent="0.3">
      <c r="A441" s="10">
        <v>43861</v>
      </c>
      <c r="B441" t="s">
        <v>33</v>
      </c>
      <c r="C441" s="8">
        <v>0</v>
      </c>
      <c r="D441" s="7">
        <v>0</v>
      </c>
      <c r="E441" s="8">
        <v>0</v>
      </c>
      <c r="F441" s="8">
        <v>0</v>
      </c>
      <c r="G441" s="8">
        <v>0</v>
      </c>
      <c r="H441" s="8">
        <v>-71.72</v>
      </c>
      <c r="I441" s="8">
        <v>-71.72</v>
      </c>
    </row>
    <row r="442" spans="1:10" x14ac:dyDescent="0.3">
      <c r="A442" s="10">
        <v>43861</v>
      </c>
      <c r="B442" t="s">
        <v>33</v>
      </c>
      <c r="C442" s="8">
        <v>0</v>
      </c>
      <c r="D442" s="7">
        <v>0</v>
      </c>
      <c r="E442" s="8">
        <v>0</v>
      </c>
      <c r="F442" s="8">
        <v>0</v>
      </c>
      <c r="G442" s="8">
        <v>0</v>
      </c>
      <c r="H442" s="8">
        <v>91.34</v>
      </c>
      <c r="I442" s="8">
        <v>91.34</v>
      </c>
    </row>
    <row r="443" spans="1:10" x14ac:dyDescent="0.3">
      <c r="A443" s="21" t="s">
        <v>15</v>
      </c>
      <c r="B443" s="22" t="str">
        <f>+B442</f>
        <v>*Jesus Ramon Castro Mendoza</v>
      </c>
      <c r="C443" s="23">
        <f>SUM(C430:C442)</f>
        <v>14818</v>
      </c>
      <c r="D443" s="23">
        <f t="shared" ref="D443:I443" si="17">SUM(D430:D442)</f>
        <v>697</v>
      </c>
      <c r="E443" s="23">
        <f t="shared" si="17"/>
        <v>1866.22</v>
      </c>
      <c r="F443" s="23">
        <f t="shared" si="17"/>
        <v>240</v>
      </c>
      <c r="G443" s="23">
        <f t="shared" si="17"/>
        <v>16924.22</v>
      </c>
      <c r="H443" s="23">
        <f t="shared" si="17"/>
        <v>2879.1200000000003</v>
      </c>
      <c r="I443" s="23">
        <f t="shared" si="17"/>
        <v>19803.339999999997</v>
      </c>
      <c r="J443" s="24"/>
    </row>
    <row r="444" spans="1:10" x14ac:dyDescent="0.3">
      <c r="A444" s="10">
        <v>43427</v>
      </c>
      <c r="B444" t="s">
        <v>34</v>
      </c>
      <c r="C444" s="8">
        <v>2280</v>
      </c>
      <c r="D444" s="7">
        <v>80</v>
      </c>
      <c r="E444" s="8">
        <v>234.88</v>
      </c>
      <c r="F444" s="8">
        <v>0</v>
      </c>
      <c r="G444" s="8">
        <v>2514.88</v>
      </c>
      <c r="H444" s="8">
        <v>413.54</v>
      </c>
      <c r="I444" s="8">
        <v>2928.42</v>
      </c>
      <c r="J444" s="7" t="s">
        <v>14</v>
      </c>
    </row>
    <row r="445" spans="1:10" x14ac:dyDescent="0.3">
      <c r="A445" s="10">
        <v>43441</v>
      </c>
      <c r="B445" t="s">
        <v>34</v>
      </c>
      <c r="C445" s="8">
        <v>1190</v>
      </c>
      <c r="D445" s="7">
        <v>70</v>
      </c>
      <c r="E445" s="8">
        <v>435.41</v>
      </c>
      <c r="F445" s="8">
        <v>350</v>
      </c>
      <c r="G445" s="8">
        <v>1975.41</v>
      </c>
      <c r="H445" s="8">
        <v>339.2</v>
      </c>
      <c r="I445" s="8">
        <v>2314.61</v>
      </c>
      <c r="J445" s="7" t="s">
        <v>14</v>
      </c>
    </row>
    <row r="446" spans="1:10" x14ac:dyDescent="0.3">
      <c r="A446" s="10">
        <v>43455</v>
      </c>
      <c r="B446" t="s">
        <v>34</v>
      </c>
      <c r="C446" s="8">
        <v>1686</v>
      </c>
      <c r="D446" s="7">
        <v>80</v>
      </c>
      <c r="E446" s="8">
        <v>842.03</v>
      </c>
      <c r="F446" s="8">
        <v>800</v>
      </c>
      <c r="G446" s="8">
        <v>3328.03</v>
      </c>
      <c r="H446" s="8">
        <v>490.44</v>
      </c>
      <c r="I446" s="8">
        <v>3818.47</v>
      </c>
      <c r="J446" s="7" t="s">
        <v>14</v>
      </c>
    </row>
    <row r="447" spans="1:10" x14ac:dyDescent="0.3">
      <c r="A447" s="10">
        <v>43469</v>
      </c>
      <c r="B447" t="s">
        <v>34</v>
      </c>
      <c r="C447" s="8">
        <v>0</v>
      </c>
      <c r="D447" s="7">
        <v>0</v>
      </c>
      <c r="E447" s="8">
        <v>0</v>
      </c>
      <c r="F447" s="8">
        <v>0</v>
      </c>
      <c r="G447" s="8">
        <v>0</v>
      </c>
      <c r="H447" s="8">
        <v>0</v>
      </c>
      <c r="I447" s="8">
        <v>0</v>
      </c>
    </row>
    <row r="448" spans="1:10" x14ac:dyDescent="0.3">
      <c r="A448" s="10">
        <v>43469</v>
      </c>
      <c r="B448" t="s">
        <v>34</v>
      </c>
      <c r="C448" s="8">
        <v>1641</v>
      </c>
      <c r="D448" s="7">
        <v>80</v>
      </c>
      <c r="E448" s="8">
        <v>636.87</v>
      </c>
      <c r="F448" s="8">
        <v>350</v>
      </c>
      <c r="G448" s="8">
        <v>2627.87</v>
      </c>
      <c r="H448" s="8">
        <v>424.91</v>
      </c>
      <c r="I448" s="8">
        <v>3052.78</v>
      </c>
      <c r="J448" s="7" t="s">
        <v>14</v>
      </c>
    </row>
    <row r="449" spans="1:10" x14ac:dyDescent="0.3">
      <c r="A449" s="10">
        <v>43469</v>
      </c>
      <c r="B449" t="s">
        <v>34</v>
      </c>
      <c r="C449" s="8">
        <v>0</v>
      </c>
      <c r="D449" s="7">
        <v>0</v>
      </c>
      <c r="E449" s="8">
        <v>-0.01</v>
      </c>
      <c r="F449" s="8">
        <v>0.01</v>
      </c>
      <c r="G449" s="8">
        <v>0</v>
      </c>
      <c r="H449" s="8">
        <v>0</v>
      </c>
      <c r="I449" s="8">
        <v>0</v>
      </c>
    </row>
    <row r="450" spans="1:10" x14ac:dyDescent="0.3">
      <c r="A450" s="10">
        <v>43483</v>
      </c>
      <c r="B450" t="s">
        <v>34</v>
      </c>
      <c r="C450" s="8">
        <v>0</v>
      </c>
      <c r="D450" s="7">
        <v>0</v>
      </c>
      <c r="E450" s="8">
        <v>0</v>
      </c>
      <c r="F450" s="8">
        <v>0</v>
      </c>
      <c r="G450" s="8">
        <v>0</v>
      </c>
      <c r="H450" s="8">
        <v>0</v>
      </c>
      <c r="I450" s="8">
        <v>0</v>
      </c>
    </row>
    <row r="451" spans="1:10" x14ac:dyDescent="0.3">
      <c r="A451" s="10">
        <v>43483</v>
      </c>
      <c r="B451" t="s">
        <v>34</v>
      </c>
      <c r="C451" s="8">
        <v>508.92</v>
      </c>
      <c r="D451" s="7">
        <v>0</v>
      </c>
      <c r="E451" s="8">
        <v>95.25</v>
      </c>
      <c r="F451" s="8">
        <v>0</v>
      </c>
      <c r="G451" s="8">
        <v>604.16999999999996</v>
      </c>
      <c r="H451" s="8">
        <v>60.77</v>
      </c>
      <c r="I451" s="8">
        <v>664.94</v>
      </c>
      <c r="J451" s="7" t="s">
        <v>14</v>
      </c>
    </row>
    <row r="452" spans="1:10" x14ac:dyDescent="0.3">
      <c r="A452" s="10">
        <v>43483</v>
      </c>
      <c r="B452" t="s">
        <v>34</v>
      </c>
      <c r="C452" s="8">
        <v>1191.08</v>
      </c>
      <c r="D452" s="7">
        <v>80</v>
      </c>
      <c r="E452" s="8">
        <v>508.92</v>
      </c>
      <c r="F452" s="8">
        <v>500</v>
      </c>
      <c r="G452" s="8">
        <v>2200</v>
      </c>
      <c r="H452" s="8">
        <v>381.86</v>
      </c>
      <c r="I452" s="8">
        <v>2581.86</v>
      </c>
      <c r="J452" s="7" t="s">
        <v>14</v>
      </c>
    </row>
    <row r="453" spans="1:10" x14ac:dyDescent="0.3">
      <c r="A453" s="10">
        <v>43483</v>
      </c>
      <c r="B453" t="s">
        <v>34</v>
      </c>
      <c r="C453" s="8">
        <v>0</v>
      </c>
      <c r="D453" s="7">
        <v>0</v>
      </c>
      <c r="E453" s="8">
        <v>-0.01</v>
      </c>
      <c r="F453" s="8">
        <v>0.01</v>
      </c>
      <c r="G453" s="8">
        <v>0</v>
      </c>
      <c r="H453" s="8">
        <v>0</v>
      </c>
      <c r="I453" s="8">
        <v>0</v>
      </c>
    </row>
    <row r="454" spans="1:10" x14ac:dyDescent="0.3">
      <c r="A454" s="10">
        <v>43497</v>
      </c>
      <c r="B454" t="s">
        <v>34</v>
      </c>
      <c r="C454" s="8">
        <v>2352</v>
      </c>
      <c r="D454" s="7">
        <v>80</v>
      </c>
      <c r="E454" s="8">
        <v>924.32</v>
      </c>
      <c r="F454" s="8">
        <v>300</v>
      </c>
      <c r="G454" s="8">
        <v>3576.32</v>
      </c>
      <c r="H454" s="8">
        <v>508.28</v>
      </c>
      <c r="I454" s="8">
        <v>4084.6</v>
      </c>
      <c r="J454" s="7" t="s">
        <v>14</v>
      </c>
    </row>
    <row r="455" spans="1:10" x14ac:dyDescent="0.3">
      <c r="A455" s="10">
        <v>43497</v>
      </c>
      <c r="B455" t="s">
        <v>34</v>
      </c>
      <c r="C455" s="8">
        <v>0</v>
      </c>
      <c r="D455" s="7">
        <v>0</v>
      </c>
      <c r="E455" s="8">
        <v>0</v>
      </c>
      <c r="F455" s="8">
        <v>0</v>
      </c>
      <c r="G455" s="8">
        <v>0</v>
      </c>
      <c r="H455" s="8">
        <v>-15.31</v>
      </c>
      <c r="I455" s="8">
        <v>-15.31</v>
      </c>
    </row>
    <row r="456" spans="1:10" x14ac:dyDescent="0.3">
      <c r="A456" s="10">
        <v>43497</v>
      </c>
      <c r="B456" t="s">
        <v>34</v>
      </c>
      <c r="C456" s="8">
        <v>0</v>
      </c>
      <c r="D456" s="7">
        <v>0</v>
      </c>
      <c r="E456" s="8">
        <v>-0.01</v>
      </c>
      <c r="F456" s="8">
        <v>0.01</v>
      </c>
      <c r="G456" s="8">
        <v>0</v>
      </c>
      <c r="H456" s="8">
        <v>0</v>
      </c>
      <c r="I456" s="8">
        <v>0</v>
      </c>
    </row>
    <row r="457" spans="1:10" x14ac:dyDescent="0.3">
      <c r="A457" s="21" t="s">
        <v>15</v>
      </c>
      <c r="B457" s="22" t="str">
        <f>+B456</f>
        <v>*John E. Hinestroz Diaz</v>
      </c>
      <c r="C457" s="23">
        <f>SUM(C444:C456)</f>
        <v>10849</v>
      </c>
      <c r="D457" s="23">
        <f t="shared" ref="D457:I457" si="18">SUM(D444:D456)</f>
        <v>470</v>
      </c>
      <c r="E457" s="23">
        <f t="shared" si="18"/>
        <v>3677.6499999999996</v>
      </c>
      <c r="F457" s="23">
        <f t="shared" si="18"/>
        <v>2300.0300000000002</v>
      </c>
      <c r="G457" s="23">
        <f t="shared" si="18"/>
        <v>16826.68</v>
      </c>
      <c r="H457" s="23">
        <f t="shared" si="18"/>
        <v>2603.69</v>
      </c>
      <c r="I457" s="23">
        <f t="shared" si="18"/>
        <v>19430.37</v>
      </c>
      <c r="J457" s="24"/>
    </row>
    <row r="458" spans="1:10" x14ac:dyDescent="0.3">
      <c r="A458" s="10">
        <v>43511</v>
      </c>
      <c r="B458" t="s">
        <v>35</v>
      </c>
      <c r="C458" s="8">
        <v>0</v>
      </c>
      <c r="D458" s="7">
        <v>0</v>
      </c>
      <c r="E458" s="8">
        <v>-0.01</v>
      </c>
      <c r="F458" s="8">
        <v>0.01</v>
      </c>
      <c r="G458" s="8">
        <v>0</v>
      </c>
      <c r="H458" s="8">
        <v>0</v>
      </c>
      <c r="I458" s="8">
        <v>0</v>
      </c>
    </row>
    <row r="459" spans="1:10" x14ac:dyDescent="0.3">
      <c r="A459" s="10">
        <v>43511</v>
      </c>
      <c r="B459" t="s">
        <v>35</v>
      </c>
      <c r="C459" s="8">
        <v>1717</v>
      </c>
      <c r="D459" s="7">
        <v>80</v>
      </c>
      <c r="E459" s="8">
        <v>193.48</v>
      </c>
      <c r="F459" s="8">
        <v>0</v>
      </c>
      <c r="G459" s="8">
        <v>1910.48</v>
      </c>
      <c r="H459" s="8">
        <v>352.73</v>
      </c>
      <c r="I459" s="8">
        <v>2263.21</v>
      </c>
      <c r="J459" s="7">
        <v>100154</v>
      </c>
    </row>
    <row r="460" spans="1:10" x14ac:dyDescent="0.3">
      <c r="A460" s="10">
        <v>43525</v>
      </c>
      <c r="B460" t="s">
        <v>35</v>
      </c>
      <c r="C460" s="8">
        <v>1173</v>
      </c>
      <c r="D460" s="7">
        <v>80</v>
      </c>
      <c r="E460" s="8">
        <v>212.93</v>
      </c>
      <c r="F460" s="8">
        <v>0</v>
      </c>
      <c r="G460" s="8">
        <v>1385.93</v>
      </c>
      <c r="H460" s="8">
        <v>299.98</v>
      </c>
      <c r="I460" s="8">
        <v>1685.91</v>
      </c>
      <c r="J460" s="7">
        <v>100156</v>
      </c>
    </row>
    <row r="461" spans="1:10" x14ac:dyDescent="0.3">
      <c r="A461" s="10">
        <v>43539</v>
      </c>
      <c r="B461" t="s">
        <v>35</v>
      </c>
      <c r="C461" s="8">
        <v>1589</v>
      </c>
      <c r="D461" s="7">
        <v>80</v>
      </c>
      <c r="E461" s="8">
        <v>312.87</v>
      </c>
      <c r="F461" s="8">
        <v>0</v>
      </c>
      <c r="G461" s="8">
        <v>1901.87</v>
      </c>
      <c r="H461" s="8">
        <v>351.86</v>
      </c>
      <c r="I461" s="8">
        <v>2253.73</v>
      </c>
      <c r="J461" s="7" t="s">
        <v>14</v>
      </c>
    </row>
    <row r="462" spans="1:10" x14ac:dyDescent="0.3">
      <c r="A462" s="10">
        <v>43539</v>
      </c>
      <c r="B462" t="s">
        <v>35</v>
      </c>
      <c r="C462" s="8">
        <v>0</v>
      </c>
      <c r="D462" s="7">
        <v>0</v>
      </c>
      <c r="E462" s="8">
        <v>-0.01</v>
      </c>
      <c r="F462" s="8">
        <v>0.01</v>
      </c>
      <c r="G462" s="8">
        <v>0</v>
      </c>
      <c r="H462" s="8">
        <v>0</v>
      </c>
      <c r="I462" s="8">
        <v>0</v>
      </c>
    </row>
    <row r="463" spans="1:10" x14ac:dyDescent="0.3">
      <c r="A463" s="10">
        <v>43553</v>
      </c>
      <c r="B463" t="s">
        <v>35</v>
      </c>
      <c r="C463" s="8">
        <v>0</v>
      </c>
      <c r="D463" s="7">
        <v>0</v>
      </c>
      <c r="E463" s="8">
        <v>0</v>
      </c>
      <c r="F463" s="8">
        <v>0</v>
      </c>
      <c r="G463" s="8">
        <v>0</v>
      </c>
      <c r="H463" s="8">
        <v>-12.09</v>
      </c>
      <c r="I463" s="8">
        <v>-12.09</v>
      </c>
    </row>
    <row r="464" spans="1:10" x14ac:dyDescent="0.3">
      <c r="A464" s="10">
        <v>43553</v>
      </c>
      <c r="B464" t="s">
        <v>35</v>
      </c>
      <c r="C464" s="8">
        <v>1598</v>
      </c>
      <c r="D464" s="7">
        <v>80</v>
      </c>
      <c r="E464" s="8">
        <v>315.12</v>
      </c>
      <c r="F464" s="8">
        <v>0</v>
      </c>
      <c r="G464" s="8">
        <v>1913.12</v>
      </c>
      <c r="H464" s="8">
        <v>352.33</v>
      </c>
      <c r="I464" s="8">
        <v>2265.4499999999998</v>
      </c>
      <c r="J464" s="7" t="s">
        <v>14</v>
      </c>
    </row>
    <row r="465" spans="1:10" x14ac:dyDescent="0.3">
      <c r="A465" s="10">
        <v>43553</v>
      </c>
      <c r="B465" t="s">
        <v>35</v>
      </c>
      <c r="C465" s="8">
        <v>0</v>
      </c>
      <c r="D465" s="7">
        <v>0</v>
      </c>
      <c r="E465" s="8">
        <v>-0.01</v>
      </c>
      <c r="F465" s="8">
        <v>0.01</v>
      </c>
      <c r="G465" s="8">
        <v>0</v>
      </c>
      <c r="H465" s="8">
        <v>0</v>
      </c>
      <c r="I465" s="8">
        <v>0</v>
      </c>
    </row>
    <row r="466" spans="1:10" x14ac:dyDescent="0.3">
      <c r="A466" s="10">
        <v>43567</v>
      </c>
      <c r="B466" t="s">
        <v>35</v>
      </c>
      <c r="C466" s="8">
        <v>0</v>
      </c>
      <c r="D466" s="7">
        <v>0</v>
      </c>
      <c r="E466" s="8">
        <v>0</v>
      </c>
      <c r="F466" s="8">
        <v>0</v>
      </c>
      <c r="G466" s="8">
        <v>0</v>
      </c>
      <c r="H466" s="8">
        <v>-3.03</v>
      </c>
      <c r="I466" s="8">
        <v>-3.03</v>
      </c>
    </row>
    <row r="467" spans="1:10" x14ac:dyDescent="0.3">
      <c r="A467" s="10">
        <v>43567</v>
      </c>
      <c r="B467" t="s">
        <v>35</v>
      </c>
      <c r="C467" s="8">
        <v>1496</v>
      </c>
      <c r="D467" s="7">
        <v>80</v>
      </c>
      <c r="E467" s="8">
        <v>289.75</v>
      </c>
      <c r="F467" s="8">
        <v>0</v>
      </c>
      <c r="G467" s="8">
        <v>1785.75</v>
      </c>
      <c r="H467" s="8">
        <v>329.46</v>
      </c>
      <c r="I467" s="8">
        <v>2115.21</v>
      </c>
      <c r="J467" s="7" t="s">
        <v>14</v>
      </c>
    </row>
    <row r="468" spans="1:10" x14ac:dyDescent="0.3">
      <c r="A468" s="10">
        <v>43581</v>
      </c>
      <c r="B468" t="s">
        <v>35</v>
      </c>
      <c r="C468" s="8">
        <v>748</v>
      </c>
      <c r="D468" s="7">
        <v>44</v>
      </c>
      <c r="E468" s="8">
        <v>96.95</v>
      </c>
      <c r="F468" s="8">
        <v>0</v>
      </c>
      <c r="G468" s="8">
        <v>844.95</v>
      </c>
      <c r="H468" s="8">
        <v>166.79</v>
      </c>
      <c r="I468" s="8">
        <v>1011.74</v>
      </c>
      <c r="J468" s="7" t="s">
        <v>14</v>
      </c>
    </row>
    <row r="469" spans="1:10" x14ac:dyDescent="0.3">
      <c r="A469" s="10">
        <v>43595</v>
      </c>
      <c r="B469" t="s">
        <v>35</v>
      </c>
      <c r="C469" s="8">
        <v>1020</v>
      </c>
      <c r="D469" s="7">
        <v>60</v>
      </c>
      <c r="E469" s="8">
        <v>166.62</v>
      </c>
      <c r="F469" s="8">
        <v>0</v>
      </c>
      <c r="G469" s="8">
        <v>1186.6199999999999</v>
      </c>
      <c r="H469" s="8">
        <v>230.64</v>
      </c>
      <c r="I469" s="8">
        <v>1417.26</v>
      </c>
      <c r="J469" s="7" t="s">
        <v>14</v>
      </c>
    </row>
    <row r="470" spans="1:10" x14ac:dyDescent="0.3">
      <c r="A470" s="10">
        <v>43609</v>
      </c>
      <c r="B470" t="s">
        <v>35</v>
      </c>
      <c r="C470" s="8">
        <v>1666</v>
      </c>
      <c r="D470" s="7">
        <v>80</v>
      </c>
      <c r="E470" s="8">
        <v>332</v>
      </c>
      <c r="F470" s="8">
        <v>0</v>
      </c>
      <c r="G470" s="8">
        <v>1998</v>
      </c>
      <c r="H470" s="8">
        <v>346.16</v>
      </c>
      <c r="I470" s="8">
        <v>2344.16</v>
      </c>
      <c r="J470" s="7" t="s">
        <v>14</v>
      </c>
    </row>
    <row r="471" spans="1:10" x14ac:dyDescent="0.3">
      <c r="A471" s="10">
        <v>43623</v>
      </c>
      <c r="B471" t="s">
        <v>35</v>
      </c>
      <c r="C471" s="8">
        <v>1666</v>
      </c>
      <c r="D471" s="7">
        <v>80</v>
      </c>
      <c r="E471" s="8">
        <v>331.98</v>
      </c>
      <c r="F471" s="8">
        <v>0</v>
      </c>
      <c r="G471" s="8">
        <v>1997.98</v>
      </c>
      <c r="H471" s="8">
        <v>346.15</v>
      </c>
      <c r="I471" s="8">
        <v>2344.13</v>
      </c>
      <c r="J471" s="7" t="s">
        <v>14</v>
      </c>
    </row>
    <row r="472" spans="1:10" x14ac:dyDescent="0.3">
      <c r="A472" s="10">
        <v>43637</v>
      </c>
      <c r="B472" t="s">
        <v>35</v>
      </c>
      <c r="C472" s="8">
        <v>2201</v>
      </c>
      <c r="D472" s="7">
        <v>80</v>
      </c>
      <c r="E472" s="8">
        <v>319.74</v>
      </c>
      <c r="F472" s="8">
        <v>0</v>
      </c>
      <c r="G472" s="8">
        <v>2520.7399999999998</v>
      </c>
      <c r="H472" s="8">
        <v>394.71</v>
      </c>
      <c r="I472" s="8">
        <v>2915.45</v>
      </c>
      <c r="J472" s="7" t="s">
        <v>14</v>
      </c>
    </row>
    <row r="473" spans="1:10" x14ac:dyDescent="0.3">
      <c r="A473" s="10">
        <v>43651</v>
      </c>
      <c r="B473" t="s">
        <v>35</v>
      </c>
      <c r="C473" s="8">
        <v>2014</v>
      </c>
      <c r="D473" s="7">
        <v>80</v>
      </c>
      <c r="E473" s="8">
        <v>218.96</v>
      </c>
      <c r="F473" s="8">
        <v>0</v>
      </c>
      <c r="G473" s="8">
        <v>2232.96</v>
      </c>
      <c r="H473" s="8">
        <v>367.98</v>
      </c>
      <c r="I473" s="8">
        <v>2600.94</v>
      </c>
      <c r="J473" s="7" t="s">
        <v>14</v>
      </c>
    </row>
    <row r="474" spans="1:10" x14ac:dyDescent="0.3">
      <c r="A474" s="10">
        <v>43665</v>
      </c>
      <c r="B474" t="s">
        <v>35</v>
      </c>
      <c r="C474" s="8">
        <v>1632</v>
      </c>
      <c r="D474" s="7">
        <v>80</v>
      </c>
      <c r="E474" s="8">
        <v>194.95</v>
      </c>
      <c r="F474" s="8">
        <v>0</v>
      </c>
      <c r="G474" s="8">
        <v>1826.95</v>
      </c>
      <c r="H474" s="8">
        <v>330.27</v>
      </c>
      <c r="I474" s="8">
        <v>2157.2199999999998</v>
      </c>
      <c r="J474" s="7" t="s">
        <v>14</v>
      </c>
    </row>
    <row r="475" spans="1:10" x14ac:dyDescent="0.3">
      <c r="A475" s="10">
        <v>43679</v>
      </c>
      <c r="B475" t="s">
        <v>35</v>
      </c>
      <c r="C475" s="8">
        <v>646</v>
      </c>
      <c r="D475" s="7">
        <v>80</v>
      </c>
      <c r="E475" s="8">
        <v>101.57</v>
      </c>
      <c r="F475" s="8">
        <v>-0.03</v>
      </c>
      <c r="G475" s="8">
        <v>747.54</v>
      </c>
      <c r="H475" s="8">
        <v>229.99</v>
      </c>
      <c r="I475" s="8">
        <v>977.53</v>
      </c>
      <c r="J475" s="7">
        <v>100180</v>
      </c>
    </row>
    <row r="476" spans="1:10" x14ac:dyDescent="0.3">
      <c r="A476" s="10">
        <v>43693</v>
      </c>
      <c r="B476" t="s">
        <v>35</v>
      </c>
      <c r="C476" s="8">
        <v>918</v>
      </c>
      <c r="D476" s="7">
        <v>51</v>
      </c>
      <c r="E476" s="8">
        <v>108.19</v>
      </c>
      <c r="F476" s="8">
        <v>0</v>
      </c>
      <c r="G476" s="8">
        <v>1026.19</v>
      </c>
      <c r="H476" s="8">
        <v>197.67</v>
      </c>
      <c r="I476" s="8">
        <v>1223.8599999999999</v>
      </c>
      <c r="J476" s="7" t="s">
        <v>14</v>
      </c>
    </row>
    <row r="477" spans="1:10" x14ac:dyDescent="0.3">
      <c r="A477" s="10">
        <v>43707</v>
      </c>
      <c r="B477" t="s">
        <v>35</v>
      </c>
      <c r="C477" s="8">
        <v>2178</v>
      </c>
      <c r="D477" s="7">
        <v>80</v>
      </c>
      <c r="E477" s="8">
        <v>314.02</v>
      </c>
      <c r="F477" s="8">
        <v>0</v>
      </c>
      <c r="G477" s="8">
        <v>2492.02</v>
      </c>
      <c r="H477" s="8">
        <v>392.06</v>
      </c>
      <c r="I477" s="8">
        <v>2884.08</v>
      </c>
      <c r="J477" s="7" t="s">
        <v>14</v>
      </c>
    </row>
    <row r="478" spans="1:10" x14ac:dyDescent="0.3">
      <c r="A478" s="10">
        <v>43721</v>
      </c>
      <c r="B478" t="s">
        <v>35</v>
      </c>
      <c r="C478" s="8">
        <v>1602</v>
      </c>
      <c r="D478" s="7">
        <v>80</v>
      </c>
      <c r="E478" s="8">
        <v>188.41</v>
      </c>
      <c r="F478" s="8">
        <v>0</v>
      </c>
      <c r="G478" s="8">
        <v>1790.41</v>
      </c>
      <c r="H478" s="8">
        <v>326.86</v>
      </c>
      <c r="I478" s="8">
        <v>2117.27</v>
      </c>
      <c r="J478" s="7" t="s">
        <v>14</v>
      </c>
    </row>
    <row r="479" spans="1:10" x14ac:dyDescent="0.3">
      <c r="A479" s="10">
        <v>43735</v>
      </c>
      <c r="B479" t="s">
        <v>35</v>
      </c>
      <c r="C479" s="8">
        <v>2268</v>
      </c>
      <c r="D479" s="7">
        <v>80</v>
      </c>
      <c r="E479" s="8">
        <v>336.4</v>
      </c>
      <c r="F479" s="8">
        <v>0</v>
      </c>
      <c r="G479" s="8">
        <v>2604.4</v>
      </c>
      <c r="H479" s="8">
        <v>402.5</v>
      </c>
      <c r="I479" s="8">
        <v>3006.9</v>
      </c>
      <c r="J479" s="7" t="s">
        <v>14</v>
      </c>
    </row>
    <row r="480" spans="1:10" x14ac:dyDescent="0.3">
      <c r="A480" s="10">
        <v>43749</v>
      </c>
      <c r="B480" t="s">
        <v>35</v>
      </c>
      <c r="C480" s="8">
        <v>2241</v>
      </c>
      <c r="D480" s="7">
        <v>80</v>
      </c>
      <c r="E480" s="8">
        <v>329.66</v>
      </c>
      <c r="F480" s="8">
        <v>0</v>
      </c>
      <c r="G480" s="8">
        <v>2570.66</v>
      </c>
      <c r="H480" s="8">
        <v>399.34</v>
      </c>
      <c r="I480" s="8">
        <v>2970</v>
      </c>
      <c r="J480" s="7" t="s">
        <v>14</v>
      </c>
    </row>
    <row r="481" spans="1:10" x14ac:dyDescent="0.3">
      <c r="A481" s="10">
        <v>43763</v>
      </c>
      <c r="B481" t="s">
        <v>35</v>
      </c>
      <c r="C481" s="8">
        <v>1638</v>
      </c>
      <c r="D481" s="7">
        <v>80</v>
      </c>
      <c r="E481" s="8">
        <v>196.26</v>
      </c>
      <c r="F481" s="8">
        <v>0</v>
      </c>
      <c r="G481" s="8">
        <v>1834.26</v>
      </c>
      <c r="H481" s="8">
        <v>330.95</v>
      </c>
      <c r="I481" s="8">
        <v>2165.21</v>
      </c>
      <c r="J481" s="7" t="s">
        <v>14</v>
      </c>
    </row>
    <row r="482" spans="1:10" x14ac:dyDescent="0.3">
      <c r="A482" s="10">
        <v>43777</v>
      </c>
      <c r="B482" t="s">
        <v>35</v>
      </c>
      <c r="C482" s="8">
        <v>2169</v>
      </c>
      <c r="D482" s="7">
        <v>80</v>
      </c>
      <c r="E482" s="8">
        <v>312.06</v>
      </c>
      <c r="F482" s="8">
        <v>0</v>
      </c>
      <c r="G482" s="8">
        <v>2481.06</v>
      </c>
      <c r="H482" s="8">
        <v>391.03</v>
      </c>
      <c r="I482" s="8">
        <v>2872.09</v>
      </c>
      <c r="J482" s="7" t="s">
        <v>14</v>
      </c>
    </row>
    <row r="483" spans="1:10" x14ac:dyDescent="0.3">
      <c r="A483" s="10">
        <v>43791</v>
      </c>
      <c r="B483" t="s">
        <v>35</v>
      </c>
      <c r="C483" s="8">
        <v>1531</v>
      </c>
      <c r="D483" s="7">
        <v>80</v>
      </c>
      <c r="E483" s="8">
        <v>177.52</v>
      </c>
      <c r="F483" s="8">
        <v>0</v>
      </c>
      <c r="G483" s="8">
        <v>1708.52</v>
      </c>
      <c r="H483" s="8">
        <v>319.27</v>
      </c>
      <c r="I483" s="8">
        <v>2027.79</v>
      </c>
      <c r="J483" s="7" t="s">
        <v>14</v>
      </c>
    </row>
    <row r="484" spans="1:10" x14ac:dyDescent="0.3">
      <c r="A484" s="21" t="s">
        <v>15</v>
      </c>
      <c r="B484" s="22" t="str">
        <f>+B483</f>
        <v>*JOSE R. VEGA HERNANDEZ</v>
      </c>
      <c r="C484" s="23">
        <f>SUM(C458:C483)</f>
        <v>33711</v>
      </c>
      <c r="D484" s="23">
        <f t="shared" ref="D484:I484" si="19">SUM(D458:D483)</f>
        <v>1595</v>
      </c>
      <c r="E484" s="23">
        <f t="shared" si="19"/>
        <v>5049.4100000000008</v>
      </c>
      <c r="F484" s="23">
        <f t="shared" si="19"/>
        <v>0</v>
      </c>
      <c r="G484" s="23">
        <f t="shared" si="19"/>
        <v>38760.409999999996</v>
      </c>
      <c r="H484" s="23">
        <f t="shared" si="19"/>
        <v>6843.6100000000006</v>
      </c>
      <c r="I484" s="23">
        <f t="shared" si="19"/>
        <v>45604.02</v>
      </c>
      <c r="J484" s="24"/>
    </row>
    <row r="485" spans="1:10" x14ac:dyDescent="0.3">
      <c r="A485" s="10">
        <v>43777</v>
      </c>
      <c r="B485" t="s">
        <v>36</v>
      </c>
      <c r="C485" s="8">
        <v>1044</v>
      </c>
      <c r="D485" s="7">
        <v>80</v>
      </c>
      <c r="E485" s="8">
        <v>135.72</v>
      </c>
      <c r="F485" s="8">
        <v>0</v>
      </c>
      <c r="G485" s="8">
        <v>1179.72</v>
      </c>
      <c r="H485" s="8">
        <v>277.22000000000003</v>
      </c>
      <c r="I485" s="8">
        <v>1456.94</v>
      </c>
      <c r="J485" s="7">
        <v>100188</v>
      </c>
    </row>
    <row r="486" spans="1:10" x14ac:dyDescent="0.3">
      <c r="A486" s="10">
        <v>43791</v>
      </c>
      <c r="B486" t="s">
        <v>36</v>
      </c>
      <c r="C486" s="8">
        <v>2376</v>
      </c>
      <c r="D486" s="7">
        <v>80</v>
      </c>
      <c r="E486" s="8">
        <v>399</v>
      </c>
      <c r="F486" s="8">
        <v>144</v>
      </c>
      <c r="G486" s="8">
        <v>2919</v>
      </c>
      <c r="H486" s="8">
        <v>449.22</v>
      </c>
      <c r="I486" s="8">
        <v>3368.22</v>
      </c>
      <c r="J486" s="7">
        <v>100189</v>
      </c>
    </row>
    <row r="487" spans="1:10" x14ac:dyDescent="0.3">
      <c r="A487" s="10">
        <v>43805</v>
      </c>
      <c r="B487" t="s">
        <v>36</v>
      </c>
      <c r="C487" s="8">
        <v>1845</v>
      </c>
      <c r="D487" s="7">
        <v>80</v>
      </c>
      <c r="E487" s="8">
        <v>241.41</v>
      </c>
      <c r="F487" s="8">
        <v>0</v>
      </c>
      <c r="G487" s="8">
        <v>2086.41</v>
      </c>
      <c r="H487" s="8">
        <v>366.89</v>
      </c>
      <c r="I487" s="8">
        <v>2453.3000000000002</v>
      </c>
      <c r="J487" s="7" t="s">
        <v>14</v>
      </c>
    </row>
    <row r="488" spans="1:10" x14ac:dyDescent="0.3">
      <c r="A488" s="10">
        <v>43819</v>
      </c>
      <c r="B488" t="s">
        <v>36</v>
      </c>
      <c r="C488" s="8">
        <v>1530</v>
      </c>
      <c r="D488" s="7">
        <v>80</v>
      </c>
      <c r="E488" s="8">
        <v>177.43</v>
      </c>
      <c r="F488" s="8">
        <v>0</v>
      </c>
      <c r="G488" s="8">
        <v>1707.43</v>
      </c>
      <c r="H488" s="8">
        <v>324.05</v>
      </c>
      <c r="I488" s="8">
        <v>2031.48</v>
      </c>
      <c r="J488" s="7" t="s">
        <v>14</v>
      </c>
    </row>
    <row r="489" spans="1:10" x14ac:dyDescent="0.3">
      <c r="A489" s="10">
        <v>43833</v>
      </c>
      <c r="B489" t="s">
        <v>36</v>
      </c>
      <c r="C489" s="8">
        <v>612</v>
      </c>
      <c r="D489" s="7">
        <v>34</v>
      </c>
      <c r="E489" s="8">
        <v>72.13</v>
      </c>
      <c r="F489" s="8">
        <v>0</v>
      </c>
      <c r="G489" s="8">
        <v>684.13</v>
      </c>
      <c r="H489" s="8">
        <v>135.88999999999999</v>
      </c>
      <c r="I489" s="8">
        <v>820.02</v>
      </c>
      <c r="J489" s="7" t="s">
        <v>14</v>
      </c>
    </row>
    <row r="490" spans="1:10" x14ac:dyDescent="0.3">
      <c r="A490" s="10">
        <v>43861</v>
      </c>
      <c r="B490" t="s">
        <v>36</v>
      </c>
      <c r="C490" s="8">
        <v>2428</v>
      </c>
      <c r="D490" s="7">
        <v>72</v>
      </c>
      <c r="E490" s="8">
        <v>296.99</v>
      </c>
      <c r="F490" s="8">
        <v>12</v>
      </c>
      <c r="G490" s="8">
        <v>2736.99</v>
      </c>
      <c r="H490" s="8">
        <v>385.8</v>
      </c>
      <c r="I490" s="8">
        <v>3122.79</v>
      </c>
      <c r="J490" s="7" t="s">
        <v>14</v>
      </c>
    </row>
    <row r="491" spans="1:10" x14ac:dyDescent="0.3">
      <c r="A491" s="10">
        <v>43861</v>
      </c>
      <c r="B491" t="s">
        <v>36</v>
      </c>
      <c r="C491" s="8">
        <v>0</v>
      </c>
      <c r="D491" s="7">
        <v>0</v>
      </c>
      <c r="E491" s="8">
        <v>0</v>
      </c>
      <c r="F491" s="8">
        <v>0</v>
      </c>
      <c r="G491" s="8">
        <v>0</v>
      </c>
      <c r="H491" s="8">
        <v>-75.44</v>
      </c>
      <c r="I491" s="8">
        <v>-75.44</v>
      </c>
    </row>
    <row r="492" spans="1:10" x14ac:dyDescent="0.3">
      <c r="A492" s="10">
        <v>43875</v>
      </c>
      <c r="B492" t="s">
        <v>36</v>
      </c>
      <c r="C492" s="8">
        <v>1895</v>
      </c>
      <c r="D492" s="7">
        <v>80</v>
      </c>
      <c r="E492" s="8">
        <v>201.11</v>
      </c>
      <c r="F492" s="8">
        <v>35</v>
      </c>
      <c r="G492" s="8">
        <v>2131.11</v>
      </c>
      <c r="H492" s="8">
        <v>303.3</v>
      </c>
      <c r="I492" s="8">
        <v>2434.41</v>
      </c>
      <c r="J492" s="7" t="s">
        <v>14</v>
      </c>
    </row>
    <row r="493" spans="1:10" x14ac:dyDescent="0.3">
      <c r="A493" s="10">
        <v>43889</v>
      </c>
      <c r="B493" t="s">
        <v>36</v>
      </c>
      <c r="C493" s="8">
        <v>1710</v>
      </c>
      <c r="D493" s="7">
        <v>80</v>
      </c>
      <c r="E493" s="8">
        <v>168.82</v>
      </c>
      <c r="F493" s="8">
        <v>0</v>
      </c>
      <c r="G493" s="8">
        <v>1878.82</v>
      </c>
      <c r="H493" s="8">
        <v>281.54000000000002</v>
      </c>
      <c r="I493" s="8">
        <v>2160.36</v>
      </c>
      <c r="J493" s="7" t="s">
        <v>14</v>
      </c>
    </row>
    <row r="494" spans="1:10" x14ac:dyDescent="0.3">
      <c r="A494" s="10">
        <v>43903</v>
      </c>
      <c r="B494" t="s">
        <v>36</v>
      </c>
      <c r="C494" s="8">
        <v>1700</v>
      </c>
      <c r="D494" s="7">
        <v>80</v>
      </c>
      <c r="E494" s="8">
        <v>168.02</v>
      </c>
      <c r="F494" s="8">
        <v>0</v>
      </c>
      <c r="G494" s="8">
        <v>1868.02</v>
      </c>
      <c r="H494" s="8">
        <v>271.77</v>
      </c>
      <c r="I494" s="8">
        <v>2139.79</v>
      </c>
      <c r="J494" s="7" t="s">
        <v>14</v>
      </c>
    </row>
    <row r="495" spans="1:10" x14ac:dyDescent="0.3">
      <c r="A495" s="10">
        <v>43917</v>
      </c>
      <c r="B495" t="s">
        <v>36</v>
      </c>
      <c r="C495" s="8">
        <v>710.54</v>
      </c>
      <c r="D495" s="7">
        <v>35</v>
      </c>
      <c r="E495" s="8">
        <v>76.959999999999994</v>
      </c>
      <c r="F495" s="8">
        <v>0</v>
      </c>
      <c r="G495" s="8">
        <v>787.5</v>
      </c>
      <c r="H495" s="8">
        <v>122.34</v>
      </c>
      <c r="I495" s="8">
        <v>909.84</v>
      </c>
      <c r="J495" s="7" t="s">
        <v>14</v>
      </c>
    </row>
    <row r="496" spans="1:10" x14ac:dyDescent="0.3">
      <c r="A496" s="10">
        <v>43917</v>
      </c>
      <c r="B496" t="s">
        <v>36</v>
      </c>
      <c r="C496" s="8">
        <v>0</v>
      </c>
      <c r="D496" s="7">
        <v>0</v>
      </c>
      <c r="E496" s="8">
        <v>0</v>
      </c>
      <c r="F496" s="8">
        <v>0</v>
      </c>
      <c r="G496" s="8">
        <v>0</v>
      </c>
      <c r="H496" s="8">
        <v>-140.63</v>
      </c>
      <c r="I496" s="8">
        <v>-140.63</v>
      </c>
    </row>
    <row r="497" spans="1:10" x14ac:dyDescent="0.3">
      <c r="A497" s="10">
        <v>43917</v>
      </c>
      <c r="B497" t="s">
        <v>36</v>
      </c>
      <c r="C497" s="8">
        <v>0</v>
      </c>
      <c r="D497" s="7">
        <v>0</v>
      </c>
      <c r="E497" s="8">
        <v>0</v>
      </c>
      <c r="F497" s="8">
        <v>0</v>
      </c>
      <c r="G497" s="8">
        <v>0</v>
      </c>
      <c r="H497" s="8">
        <v>0.92</v>
      </c>
      <c r="I497" s="8">
        <v>0.92</v>
      </c>
    </row>
    <row r="498" spans="1:10" x14ac:dyDescent="0.3">
      <c r="A498" s="10">
        <v>43917</v>
      </c>
      <c r="B498" t="s">
        <v>36</v>
      </c>
      <c r="C498" s="8">
        <v>0</v>
      </c>
      <c r="D498" s="7">
        <v>0</v>
      </c>
      <c r="E498" s="8">
        <v>0</v>
      </c>
      <c r="F498" s="8">
        <v>0</v>
      </c>
      <c r="G498" s="8">
        <v>0</v>
      </c>
      <c r="H498" s="8">
        <v>160.36000000000001</v>
      </c>
      <c r="I498" s="8">
        <v>160.36000000000001</v>
      </c>
    </row>
    <row r="499" spans="1:10" x14ac:dyDescent="0.3">
      <c r="A499" s="21" t="s">
        <v>15</v>
      </c>
      <c r="B499" s="22" t="str">
        <f>+B498</f>
        <v>*Josue F. Osuna Tallabas</v>
      </c>
      <c r="C499" s="23">
        <f>SUM(C485:C498)</f>
        <v>15850.54</v>
      </c>
      <c r="D499" s="23">
        <f t="shared" ref="D499:I499" si="20">SUM(D485:D498)</f>
        <v>701</v>
      </c>
      <c r="E499" s="23">
        <f t="shared" si="20"/>
        <v>1937.59</v>
      </c>
      <c r="F499" s="23">
        <f t="shared" si="20"/>
        <v>191</v>
      </c>
      <c r="G499" s="23">
        <f t="shared" si="20"/>
        <v>17979.13</v>
      </c>
      <c r="H499" s="23">
        <f t="shared" si="20"/>
        <v>2863.23</v>
      </c>
      <c r="I499" s="23">
        <f t="shared" si="20"/>
        <v>20842.359999999997</v>
      </c>
      <c r="J499" s="24"/>
    </row>
    <row r="500" spans="1:10" x14ac:dyDescent="0.3">
      <c r="A500" s="10">
        <v>43525</v>
      </c>
      <c r="B500" t="s">
        <v>37</v>
      </c>
      <c r="C500" s="8">
        <v>2100</v>
      </c>
      <c r="D500" s="7">
        <v>80</v>
      </c>
      <c r="E500" s="8">
        <v>226.34</v>
      </c>
      <c r="F500" s="8">
        <v>0</v>
      </c>
      <c r="G500" s="8">
        <v>2326.34</v>
      </c>
      <c r="H500" s="8">
        <v>394.57</v>
      </c>
      <c r="I500" s="8">
        <v>2720.91</v>
      </c>
      <c r="J500" s="7">
        <v>100167</v>
      </c>
    </row>
    <row r="501" spans="1:10" x14ac:dyDescent="0.3">
      <c r="A501" s="10">
        <v>43539</v>
      </c>
      <c r="B501" t="s">
        <v>37</v>
      </c>
      <c r="C501" s="8">
        <v>2300</v>
      </c>
      <c r="D501" s="7">
        <v>80</v>
      </c>
      <c r="E501" s="8">
        <v>537.96</v>
      </c>
      <c r="F501" s="8">
        <v>0</v>
      </c>
      <c r="G501" s="8">
        <v>2837.96</v>
      </c>
      <c r="H501" s="8">
        <v>446.05</v>
      </c>
      <c r="I501" s="8">
        <v>3284.01</v>
      </c>
      <c r="J501" s="7">
        <v>100163</v>
      </c>
    </row>
    <row r="502" spans="1:10" x14ac:dyDescent="0.3">
      <c r="A502" s="10">
        <v>43539</v>
      </c>
      <c r="B502" t="s">
        <v>37</v>
      </c>
      <c r="C502" s="8">
        <v>0</v>
      </c>
      <c r="D502" s="7">
        <v>0</v>
      </c>
      <c r="E502" s="8">
        <v>-0.01</v>
      </c>
      <c r="F502" s="8">
        <v>0.01</v>
      </c>
      <c r="G502" s="8">
        <v>0</v>
      </c>
      <c r="H502" s="8">
        <v>0</v>
      </c>
      <c r="I502" s="8">
        <v>0</v>
      </c>
    </row>
    <row r="503" spans="1:10" x14ac:dyDescent="0.3">
      <c r="A503" s="10">
        <v>43553</v>
      </c>
      <c r="B503" t="s">
        <v>37</v>
      </c>
      <c r="C503" s="8">
        <v>2310</v>
      </c>
      <c r="D503" s="7">
        <v>80</v>
      </c>
      <c r="E503" s="8">
        <v>540.42999999999995</v>
      </c>
      <c r="F503" s="8">
        <v>0</v>
      </c>
      <c r="G503" s="8">
        <v>2850.43</v>
      </c>
      <c r="H503" s="8">
        <v>441.19</v>
      </c>
      <c r="I503" s="8">
        <v>3291.62</v>
      </c>
      <c r="J503" s="7">
        <v>100168</v>
      </c>
    </row>
    <row r="504" spans="1:10" x14ac:dyDescent="0.3">
      <c r="A504" s="10">
        <v>43553</v>
      </c>
      <c r="B504" t="s">
        <v>37</v>
      </c>
      <c r="C504" s="8">
        <v>0</v>
      </c>
      <c r="D504" s="7">
        <v>0</v>
      </c>
      <c r="E504" s="8">
        <v>0</v>
      </c>
      <c r="F504" s="8">
        <v>0</v>
      </c>
      <c r="G504" s="8">
        <v>0</v>
      </c>
      <c r="H504" s="8">
        <v>-13.62</v>
      </c>
      <c r="I504" s="8">
        <v>-13.62</v>
      </c>
    </row>
    <row r="505" spans="1:10" x14ac:dyDescent="0.3">
      <c r="A505" s="10">
        <v>43553</v>
      </c>
      <c r="B505" t="s">
        <v>37</v>
      </c>
      <c r="C505" s="8">
        <v>0</v>
      </c>
      <c r="D505" s="7">
        <v>0</v>
      </c>
      <c r="E505" s="8">
        <v>-0.01</v>
      </c>
      <c r="F505" s="8">
        <v>0.01</v>
      </c>
      <c r="G505" s="8">
        <v>0</v>
      </c>
      <c r="H505" s="8">
        <v>0</v>
      </c>
      <c r="I505" s="8">
        <v>0</v>
      </c>
    </row>
    <row r="506" spans="1:10" x14ac:dyDescent="0.3">
      <c r="A506" s="10">
        <v>43567</v>
      </c>
      <c r="B506" t="s">
        <v>37</v>
      </c>
      <c r="C506" s="8">
        <v>0</v>
      </c>
      <c r="D506" s="7">
        <v>0</v>
      </c>
      <c r="E506" s="8">
        <v>-0.01</v>
      </c>
      <c r="F506" s="8">
        <v>0.01</v>
      </c>
      <c r="G506" s="8">
        <v>0</v>
      </c>
      <c r="H506" s="8">
        <v>0</v>
      </c>
      <c r="I506" s="8">
        <v>0</v>
      </c>
    </row>
    <row r="507" spans="1:10" x14ac:dyDescent="0.3">
      <c r="A507" s="10">
        <v>43567</v>
      </c>
      <c r="B507" t="s">
        <v>37</v>
      </c>
      <c r="C507" s="8">
        <v>2310</v>
      </c>
      <c r="D507" s="7">
        <v>80</v>
      </c>
      <c r="E507" s="8">
        <v>540.44000000000005</v>
      </c>
      <c r="F507" s="8">
        <v>0</v>
      </c>
      <c r="G507" s="8">
        <v>2850.44</v>
      </c>
      <c r="H507" s="8">
        <v>430.19</v>
      </c>
      <c r="I507" s="8">
        <v>3280.63</v>
      </c>
      <c r="J507" s="7" t="s">
        <v>14</v>
      </c>
    </row>
    <row r="508" spans="1:10" x14ac:dyDescent="0.3">
      <c r="A508" s="10">
        <v>43567</v>
      </c>
      <c r="B508" t="s">
        <v>37</v>
      </c>
      <c r="C508" s="8">
        <v>0</v>
      </c>
      <c r="D508" s="7">
        <v>0</v>
      </c>
      <c r="E508" s="8">
        <v>0</v>
      </c>
      <c r="F508" s="8">
        <v>0</v>
      </c>
      <c r="G508" s="8">
        <v>0</v>
      </c>
      <c r="H508" s="8">
        <v>-4.84</v>
      </c>
      <c r="I508" s="8">
        <v>-4.84</v>
      </c>
    </row>
    <row r="509" spans="1:10" x14ac:dyDescent="0.3">
      <c r="A509" s="10">
        <v>43581</v>
      </c>
      <c r="B509" t="s">
        <v>37</v>
      </c>
      <c r="C509" s="8">
        <v>2150</v>
      </c>
      <c r="D509" s="7">
        <v>80</v>
      </c>
      <c r="E509" s="8">
        <v>500.68</v>
      </c>
      <c r="F509" s="8">
        <v>0</v>
      </c>
      <c r="G509" s="8">
        <v>2650.68</v>
      </c>
      <c r="H509" s="8">
        <v>406.79</v>
      </c>
      <c r="I509" s="8">
        <v>3057.47</v>
      </c>
      <c r="J509" s="7" t="s">
        <v>14</v>
      </c>
    </row>
    <row r="510" spans="1:10" x14ac:dyDescent="0.3">
      <c r="A510" s="10">
        <v>43595</v>
      </c>
      <c r="B510" t="s">
        <v>37</v>
      </c>
      <c r="C510" s="8">
        <v>2570</v>
      </c>
      <c r="D510" s="7">
        <v>80</v>
      </c>
      <c r="E510" s="8">
        <v>605.03</v>
      </c>
      <c r="F510" s="8">
        <v>0</v>
      </c>
      <c r="G510" s="8">
        <v>3175.03</v>
      </c>
      <c r="H510" s="8">
        <v>455.5</v>
      </c>
      <c r="I510" s="8">
        <v>3630.53</v>
      </c>
      <c r="J510" s="7" t="s">
        <v>14</v>
      </c>
    </row>
    <row r="511" spans="1:10" x14ac:dyDescent="0.3">
      <c r="A511" s="10">
        <v>43609</v>
      </c>
      <c r="B511" t="s">
        <v>37</v>
      </c>
      <c r="C511" s="8">
        <v>2570</v>
      </c>
      <c r="D511" s="7">
        <v>80</v>
      </c>
      <c r="E511" s="8">
        <v>605.04</v>
      </c>
      <c r="F511" s="8">
        <v>0</v>
      </c>
      <c r="G511" s="8">
        <v>3175.04</v>
      </c>
      <c r="H511" s="8">
        <v>455.52</v>
      </c>
      <c r="I511" s="8">
        <v>3630.56</v>
      </c>
      <c r="J511" s="7" t="s">
        <v>14</v>
      </c>
    </row>
    <row r="512" spans="1:10" x14ac:dyDescent="0.3">
      <c r="A512" s="10">
        <v>43623</v>
      </c>
      <c r="B512" t="s">
        <v>37</v>
      </c>
      <c r="C512" s="8">
        <v>2060</v>
      </c>
      <c r="D512" s="7">
        <v>80</v>
      </c>
      <c r="E512" s="8">
        <v>478.29</v>
      </c>
      <c r="F512" s="8">
        <v>0</v>
      </c>
      <c r="G512" s="8">
        <v>2538.29</v>
      </c>
      <c r="H512" s="8">
        <v>396.34</v>
      </c>
      <c r="I512" s="8">
        <v>2934.63</v>
      </c>
      <c r="J512" s="7" t="s">
        <v>14</v>
      </c>
    </row>
    <row r="513" spans="1:10" x14ac:dyDescent="0.3">
      <c r="A513" s="10">
        <v>43637</v>
      </c>
      <c r="B513" t="s">
        <v>37</v>
      </c>
      <c r="C513" s="8">
        <v>3020</v>
      </c>
      <c r="D513" s="7">
        <v>80</v>
      </c>
      <c r="E513" s="8">
        <v>752.02</v>
      </c>
      <c r="F513" s="8">
        <v>0</v>
      </c>
      <c r="G513" s="8">
        <v>3772.02</v>
      </c>
      <c r="H513" s="8">
        <v>510.97</v>
      </c>
      <c r="I513" s="8">
        <v>4282.99</v>
      </c>
      <c r="J513" s="7" t="s">
        <v>14</v>
      </c>
    </row>
    <row r="514" spans="1:10" x14ac:dyDescent="0.3">
      <c r="A514" s="10">
        <v>43651</v>
      </c>
      <c r="B514" t="s">
        <v>37</v>
      </c>
      <c r="C514" s="8">
        <v>2130</v>
      </c>
      <c r="D514" s="7">
        <v>80</v>
      </c>
      <c r="E514" s="8">
        <v>228.91</v>
      </c>
      <c r="F514" s="8">
        <v>0</v>
      </c>
      <c r="G514" s="8">
        <v>2358.91</v>
      </c>
      <c r="H514" s="8">
        <v>379.67</v>
      </c>
      <c r="I514" s="8">
        <v>2738.58</v>
      </c>
      <c r="J514" s="7" t="s">
        <v>14</v>
      </c>
    </row>
    <row r="515" spans="1:10" x14ac:dyDescent="0.3">
      <c r="A515" s="21" t="s">
        <v>15</v>
      </c>
      <c r="B515" s="22" t="str">
        <f>+B514</f>
        <v>*Lucas M. Ayala</v>
      </c>
      <c r="C515" s="23">
        <f>SUM(C500:C514)</f>
        <v>23520</v>
      </c>
      <c r="D515" s="23">
        <f t="shared" ref="D515:I515" si="21">SUM(D500:D514)</f>
        <v>800</v>
      </c>
      <c r="E515" s="23">
        <f t="shared" si="21"/>
        <v>5015.1100000000006</v>
      </c>
      <c r="F515" s="23">
        <f t="shared" si="21"/>
        <v>0.03</v>
      </c>
      <c r="G515" s="23">
        <f t="shared" si="21"/>
        <v>28535.140000000003</v>
      </c>
      <c r="H515" s="23">
        <f t="shared" si="21"/>
        <v>4298.3300000000008</v>
      </c>
      <c r="I515" s="23">
        <f t="shared" si="21"/>
        <v>32833.47</v>
      </c>
      <c r="J515" s="24"/>
    </row>
    <row r="516" spans="1:10" x14ac:dyDescent="0.3">
      <c r="A516" s="10">
        <v>43511</v>
      </c>
      <c r="B516" t="s">
        <v>38</v>
      </c>
      <c r="C516" s="8">
        <v>2020</v>
      </c>
      <c r="D516" s="7">
        <v>80</v>
      </c>
      <c r="E516" s="8">
        <v>219.48</v>
      </c>
      <c r="F516" s="8">
        <v>0</v>
      </c>
      <c r="G516" s="8">
        <v>2239.48</v>
      </c>
      <c r="H516" s="8">
        <v>385.84</v>
      </c>
      <c r="I516" s="8">
        <v>2625.32</v>
      </c>
      <c r="J516" s="7">
        <v>100151</v>
      </c>
    </row>
    <row r="517" spans="1:10" x14ac:dyDescent="0.3">
      <c r="A517" s="10">
        <v>43525</v>
      </c>
      <c r="B517" t="s">
        <v>38</v>
      </c>
      <c r="C517" s="8">
        <v>1340</v>
      </c>
      <c r="D517" s="7">
        <v>80</v>
      </c>
      <c r="E517" s="8">
        <v>198.89</v>
      </c>
      <c r="F517" s="8">
        <v>440</v>
      </c>
      <c r="G517" s="8">
        <v>1978.89</v>
      </c>
      <c r="H517" s="8">
        <v>359.62</v>
      </c>
      <c r="I517" s="8">
        <v>2338.5100000000002</v>
      </c>
      <c r="J517" s="7">
        <v>100161</v>
      </c>
    </row>
    <row r="518" spans="1:10" x14ac:dyDescent="0.3">
      <c r="A518" s="10">
        <v>43539</v>
      </c>
      <c r="B518" t="s">
        <v>38</v>
      </c>
      <c r="C518" s="8">
        <v>1795</v>
      </c>
      <c r="D518" s="7">
        <v>80</v>
      </c>
      <c r="E518" s="8">
        <v>433.13</v>
      </c>
      <c r="F518" s="8">
        <v>75</v>
      </c>
      <c r="G518" s="8">
        <v>2303.13</v>
      </c>
      <c r="H518" s="8">
        <v>392.22</v>
      </c>
      <c r="I518" s="8">
        <v>2695.35</v>
      </c>
      <c r="J518" s="7">
        <v>100165</v>
      </c>
    </row>
    <row r="519" spans="1:10" x14ac:dyDescent="0.3">
      <c r="A519" s="10">
        <v>43553</v>
      </c>
      <c r="B519" t="s">
        <v>38</v>
      </c>
      <c r="C519" s="8">
        <v>0</v>
      </c>
      <c r="D519" s="7">
        <v>0</v>
      </c>
      <c r="E519" s="8">
        <v>-0.01</v>
      </c>
      <c r="F519" s="8">
        <v>0.01</v>
      </c>
      <c r="G519" s="8">
        <v>0</v>
      </c>
      <c r="H519" s="8">
        <v>0</v>
      </c>
      <c r="I519" s="8">
        <v>0</v>
      </c>
    </row>
    <row r="520" spans="1:10" x14ac:dyDescent="0.3">
      <c r="A520" s="10">
        <v>43553</v>
      </c>
      <c r="B520" t="s">
        <v>38</v>
      </c>
      <c r="C520" s="8">
        <v>0</v>
      </c>
      <c r="D520" s="7">
        <v>0</v>
      </c>
      <c r="E520" s="8">
        <v>0</v>
      </c>
      <c r="F520" s="8">
        <v>0</v>
      </c>
      <c r="G520" s="8">
        <v>0</v>
      </c>
      <c r="H520" s="8">
        <v>-14.74</v>
      </c>
      <c r="I520" s="8">
        <v>-14.74</v>
      </c>
    </row>
    <row r="521" spans="1:10" x14ac:dyDescent="0.3">
      <c r="A521" s="10">
        <v>43553</v>
      </c>
      <c r="B521" t="s">
        <v>38</v>
      </c>
      <c r="C521" s="8">
        <v>1320</v>
      </c>
      <c r="D521" s="7">
        <v>80</v>
      </c>
      <c r="E521" s="8">
        <v>386.59</v>
      </c>
      <c r="F521" s="8">
        <v>440</v>
      </c>
      <c r="G521" s="8">
        <v>2146.59</v>
      </c>
      <c r="H521" s="8">
        <v>366.49</v>
      </c>
      <c r="I521" s="8">
        <v>2513.08</v>
      </c>
      <c r="J521" s="7">
        <v>100170</v>
      </c>
    </row>
    <row r="522" spans="1:10" x14ac:dyDescent="0.3">
      <c r="A522" s="10">
        <v>43623</v>
      </c>
      <c r="B522" t="s">
        <v>38</v>
      </c>
      <c r="C522" s="8">
        <v>1449</v>
      </c>
      <c r="D522" s="7">
        <v>69</v>
      </c>
      <c r="E522" s="8">
        <v>302</v>
      </c>
      <c r="F522" s="8">
        <v>0</v>
      </c>
      <c r="G522" s="8">
        <v>1751</v>
      </c>
      <c r="H522" s="8">
        <v>301.13</v>
      </c>
      <c r="I522" s="8">
        <v>2052.13</v>
      </c>
      <c r="J522" s="7">
        <v>100177</v>
      </c>
    </row>
    <row r="523" spans="1:10" x14ac:dyDescent="0.3">
      <c r="A523" s="10">
        <v>43637</v>
      </c>
      <c r="B523" t="s">
        <v>38</v>
      </c>
      <c r="C523" s="8">
        <v>1500</v>
      </c>
      <c r="D523" s="7">
        <v>75</v>
      </c>
      <c r="E523" s="8">
        <v>318.64999999999998</v>
      </c>
      <c r="F523" s="8">
        <v>0</v>
      </c>
      <c r="G523" s="8">
        <v>1818.65</v>
      </c>
      <c r="H523" s="8">
        <v>319.45</v>
      </c>
      <c r="I523" s="8">
        <v>2138.1</v>
      </c>
      <c r="J523" s="7">
        <v>100178</v>
      </c>
    </row>
    <row r="524" spans="1:10" x14ac:dyDescent="0.3">
      <c r="A524" s="21" t="s">
        <v>15</v>
      </c>
      <c r="B524" s="22" t="str">
        <f>+B523</f>
        <v>*LUIS A. GARCIA</v>
      </c>
      <c r="C524" s="23">
        <f>SUM(C516:C523)</f>
        <v>9424</v>
      </c>
      <c r="D524" s="23">
        <f t="shared" ref="D524:I524" si="22">SUM(D516:D523)</f>
        <v>464</v>
      </c>
      <c r="E524" s="23">
        <f t="shared" si="22"/>
        <v>1858.73</v>
      </c>
      <c r="F524" s="23">
        <f t="shared" si="22"/>
        <v>955.01</v>
      </c>
      <c r="G524" s="23">
        <f t="shared" si="22"/>
        <v>12237.74</v>
      </c>
      <c r="H524" s="23">
        <f t="shared" si="22"/>
        <v>2110.0099999999998</v>
      </c>
      <c r="I524" s="23">
        <f t="shared" si="22"/>
        <v>14347.750000000002</v>
      </c>
      <c r="J524" s="24"/>
    </row>
    <row r="525" spans="1:10" x14ac:dyDescent="0.3">
      <c r="A525" s="10">
        <v>43805</v>
      </c>
      <c r="B525" t="s">
        <v>39</v>
      </c>
      <c r="C525" s="8">
        <v>664</v>
      </c>
      <c r="D525" s="7">
        <v>80</v>
      </c>
      <c r="E525" s="8">
        <v>135.72</v>
      </c>
      <c r="F525" s="8">
        <v>380</v>
      </c>
      <c r="G525" s="8">
        <v>1179.72</v>
      </c>
      <c r="H525" s="8">
        <v>277.22000000000003</v>
      </c>
      <c r="I525" s="8">
        <v>1456.94</v>
      </c>
      <c r="J525" s="7" t="s">
        <v>14</v>
      </c>
    </row>
    <row r="526" spans="1:10" x14ac:dyDescent="0.3">
      <c r="A526" s="10">
        <v>43819</v>
      </c>
      <c r="B526" t="s">
        <v>39</v>
      </c>
      <c r="C526" s="8">
        <v>1621</v>
      </c>
      <c r="D526" s="7">
        <v>80</v>
      </c>
      <c r="E526" s="8">
        <v>229.63</v>
      </c>
      <c r="F526" s="8">
        <v>170</v>
      </c>
      <c r="G526" s="8">
        <v>2020.63</v>
      </c>
      <c r="H526" s="8">
        <v>360.38</v>
      </c>
      <c r="I526" s="8">
        <v>2381.0100000000002</v>
      </c>
      <c r="J526" s="7" t="s">
        <v>14</v>
      </c>
    </row>
    <row r="527" spans="1:10" x14ac:dyDescent="0.3">
      <c r="A527" s="10">
        <v>43833</v>
      </c>
      <c r="B527" t="s">
        <v>39</v>
      </c>
      <c r="C527" s="8">
        <v>2593</v>
      </c>
      <c r="D527" s="7">
        <v>80</v>
      </c>
      <c r="E527" s="8">
        <v>411.62</v>
      </c>
      <c r="F527" s="8">
        <v>0</v>
      </c>
      <c r="G527" s="8">
        <v>3004.62</v>
      </c>
      <c r="H527" s="8">
        <v>457.7</v>
      </c>
      <c r="I527" s="8">
        <v>3462.32</v>
      </c>
      <c r="J527" s="7" t="s">
        <v>14</v>
      </c>
    </row>
    <row r="528" spans="1:10" x14ac:dyDescent="0.3">
      <c r="A528" s="10">
        <v>43847</v>
      </c>
      <c r="B528" t="s">
        <v>39</v>
      </c>
      <c r="C528" s="8">
        <v>1502</v>
      </c>
      <c r="D528" s="7">
        <v>80</v>
      </c>
      <c r="E528" s="8">
        <v>169.09</v>
      </c>
      <c r="F528" s="8">
        <v>100</v>
      </c>
      <c r="G528" s="8">
        <v>1771.09</v>
      </c>
      <c r="H528" s="8">
        <v>318.98</v>
      </c>
      <c r="I528" s="8">
        <v>2090.0700000000002</v>
      </c>
      <c r="J528" s="7" t="s">
        <v>14</v>
      </c>
    </row>
    <row r="529" spans="1:10" x14ac:dyDescent="0.3">
      <c r="A529" s="10">
        <v>43861</v>
      </c>
      <c r="B529" t="s">
        <v>39</v>
      </c>
      <c r="C529" s="8">
        <v>1777</v>
      </c>
      <c r="D529" s="7">
        <v>80</v>
      </c>
      <c r="E529" s="8">
        <v>191.49</v>
      </c>
      <c r="F529" s="8">
        <v>50</v>
      </c>
      <c r="G529" s="8">
        <v>2018.49</v>
      </c>
      <c r="H529" s="8">
        <v>341.22</v>
      </c>
      <c r="I529" s="8">
        <v>2359.71</v>
      </c>
      <c r="J529" s="7" t="s">
        <v>14</v>
      </c>
    </row>
    <row r="530" spans="1:10" x14ac:dyDescent="0.3">
      <c r="A530" s="10">
        <v>43875</v>
      </c>
      <c r="B530" t="s">
        <v>39</v>
      </c>
      <c r="C530" s="8">
        <v>0</v>
      </c>
      <c r="D530" s="7">
        <v>0</v>
      </c>
      <c r="E530" s="8">
        <v>0</v>
      </c>
      <c r="F530" s="8">
        <v>0</v>
      </c>
      <c r="G530" s="8">
        <v>0</v>
      </c>
      <c r="H530" s="8">
        <v>-227.76</v>
      </c>
      <c r="I530" s="8">
        <v>-227.76</v>
      </c>
    </row>
    <row r="531" spans="1:10" x14ac:dyDescent="0.3">
      <c r="A531" s="10">
        <v>43875</v>
      </c>
      <c r="B531" t="s">
        <v>39</v>
      </c>
      <c r="C531" s="8">
        <v>1476</v>
      </c>
      <c r="D531" s="7">
        <v>80</v>
      </c>
      <c r="E531" s="8">
        <v>159.13999999999999</v>
      </c>
      <c r="F531" s="8">
        <v>0</v>
      </c>
      <c r="G531" s="8">
        <v>1635.14</v>
      </c>
      <c r="H531" s="8">
        <v>301.08</v>
      </c>
      <c r="I531" s="8">
        <v>1936.22</v>
      </c>
      <c r="J531" s="7">
        <v>100194</v>
      </c>
    </row>
    <row r="532" spans="1:10" x14ac:dyDescent="0.3">
      <c r="A532" s="10">
        <v>43875</v>
      </c>
      <c r="B532" t="s">
        <v>39</v>
      </c>
      <c r="C532" s="8">
        <v>0</v>
      </c>
      <c r="D532" s="7">
        <v>0</v>
      </c>
      <c r="E532" s="8">
        <v>0</v>
      </c>
      <c r="F532" s="8">
        <v>0</v>
      </c>
      <c r="G532" s="8">
        <v>0</v>
      </c>
      <c r="H532" s="8">
        <v>0.78</v>
      </c>
      <c r="I532" s="8">
        <v>0.78</v>
      </c>
    </row>
    <row r="533" spans="1:10" x14ac:dyDescent="0.3">
      <c r="A533" s="10">
        <v>43875</v>
      </c>
      <c r="B533" t="s">
        <v>39</v>
      </c>
      <c r="C533" s="8">
        <v>0</v>
      </c>
      <c r="D533" s="7">
        <v>0</v>
      </c>
      <c r="E533" s="8">
        <v>0</v>
      </c>
      <c r="F533" s="8">
        <v>0</v>
      </c>
      <c r="G533" s="8">
        <v>0</v>
      </c>
      <c r="H533" s="8">
        <v>-120.23</v>
      </c>
      <c r="I533" s="8">
        <v>-120.23</v>
      </c>
    </row>
    <row r="534" spans="1:10" x14ac:dyDescent="0.3">
      <c r="A534" s="10">
        <v>43875</v>
      </c>
      <c r="B534" t="s">
        <v>39</v>
      </c>
      <c r="C534" s="8">
        <v>0</v>
      </c>
      <c r="D534" s="7">
        <v>0</v>
      </c>
      <c r="E534" s="8">
        <v>0</v>
      </c>
      <c r="F534" s="8">
        <v>0</v>
      </c>
      <c r="G534" s="8">
        <v>0</v>
      </c>
      <c r="H534" s="8">
        <v>134.69</v>
      </c>
      <c r="I534" s="8">
        <v>134.69</v>
      </c>
    </row>
    <row r="535" spans="1:10" x14ac:dyDescent="0.3">
      <c r="A535" s="21" t="s">
        <v>15</v>
      </c>
      <c r="B535" s="22" t="str">
        <f>+B534</f>
        <v>*Luis G. Fernandez Rosas</v>
      </c>
      <c r="C535" s="23">
        <f>SUM(C525:C534)</f>
        <v>9633</v>
      </c>
      <c r="D535" s="23">
        <f t="shared" ref="D535:I535" si="23">SUM(D525:D534)</f>
        <v>480</v>
      </c>
      <c r="E535" s="23">
        <f t="shared" si="23"/>
        <v>1296.69</v>
      </c>
      <c r="F535" s="23">
        <f t="shared" si="23"/>
        <v>700</v>
      </c>
      <c r="G535" s="23">
        <f t="shared" si="23"/>
        <v>11629.69</v>
      </c>
      <c r="H535" s="23">
        <f t="shared" si="23"/>
        <v>1844.06</v>
      </c>
      <c r="I535" s="23">
        <f t="shared" si="23"/>
        <v>13473.75</v>
      </c>
      <c r="J535" s="24"/>
    </row>
    <row r="536" spans="1:10" x14ac:dyDescent="0.3">
      <c r="A536" s="10">
        <v>43427</v>
      </c>
      <c r="B536" t="s">
        <v>40</v>
      </c>
      <c r="C536" s="8">
        <v>1824</v>
      </c>
      <c r="D536" s="7">
        <v>80</v>
      </c>
      <c r="E536" s="8">
        <v>197.11</v>
      </c>
      <c r="F536" s="8">
        <v>0</v>
      </c>
      <c r="G536" s="8">
        <v>2021.11</v>
      </c>
      <c r="H536" s="8">
        <v>363.87</v>
      </c>
      <c r="I536" s="8">
        <v>2384.98</v>
      </c>
      <c r="J536" s="7" t="s">
        <v>14</v>
      </c>
    </row>
    <row r="537" spans="1:10" x14ac:dyDescent="0.3">
      <c r="A537" s="10">
        <v>43441</v>
      </c>
      <c r="B537" t="s">
        <v>40</v>
      </c>
      <c r="C537" s="8">
        <v>1040</v>
      </c>
      <c r="D537" s="7">
        <v>74</v>
      </c>
      <c r="E537" s="8">
        <v>254.76</v>
      </c>
      <c r="F537" s="8">
        <v>440</v>
      </c>
      <c r="G537" s="8">
        <v>1734.76</v>
      </c>
      <c r="H537" s="8">
        <v>323.01</v>
      </c>
      <c r="I537" s="8">
        <v>2057.77</v>
      </c>
      <c r="J537" s="7" t="s">
        <v>14</v>
      </c>
    </row>
    <row r="538" spans="1:10" x14ac:dyDescent="0.3">
      <c r="A538" s="10">
        <v>43455</v>
      </c>
      <c r="B538" t="s">
        <v>40</v>
      </c>
      <c r="C538" s="8">
        <v>1620</v>
      </c>
      <c r="D538" s="7">
        <v>80</v>
      </c>
      <c r="E538" s="8">
        <v>488.61</v>
      </c>
      <c r="F538" s="8">
        <v>800</v>
      </c>
      <c r="G538" s="8">
        <v>2908.61</v>
      </c>
      <c r="H538" s="8">
        <v>453.14</v>
      </c>
      <c r="I538" s="8">
        <v>3361.75</v>
      </c>
      <c r="J538" s="7" t="s">
        <v>14</v>
      </c>
    </row>
    <row r="539" spans="1:10" x14ac:dyDescent="0.3">
      <c r="A539" s="10">
        <v>43469</v>
      </c>
      <c r="B539" t="s">
        <v>40</v>
      </c>
      <c r="C539" s="8">
        <v>1310</v>
      </c>
      <c r="D539" s="7">
        <v>80</v>
      </c>
      <c r="E539" s="8">
        <v>328.67</v>
      </c>
      <c r="F539" s="8">
        <v>440</v>
      </c>
      <c r="G539" s="8">
        <v>2078.67</v>
      </c>
      <c r="H539" s="8">
        <v>369.66</v>
      </c>
      <c r="I539" s="8">
        <v>2448.33</v>
      </c>
      <c r="J539" s="7" t="s">
        <v>14</v>
      </c>
    </row>
    <row r="540" spans="1:10" x14ac:dyDescent="0.3">
      <c r="A540" s="10">
        <v>43469</v>
      </c>
      <c r="B540" t="s">
        <v>40</v>
      </c>
      <c r="C540" s="8">
        <v>0</v>
      </c>
      <c r="D540" s="7">
        <v>0</v>
      </c>
      <c r="E540" s="8">
        <v>0</v>
      </c>
      <c r="F540" s="8">
        <v>0</v>
      </c>
      <c r="G540" s="8">
        <v>0</v>
      </c>
      <c r="H540" s="8">
        <v>0</v>
      </c>
      <c r="I540" s="8">
        <v>0</v>
      </c>
    </row>
    <row r="541" spans="1:10" x14ac:dyDescent="0.3">
      <c r="A541" s="10">
        <v>43483</v>
      </c>
      <c r="B541" t="s">
        <v>40</v>
      </c>
      <c r="C541" s="8">
        <v>1151.3</v>
      </c>
      <c r="D541" s="7">
        <v>80</v>
      </c>
      <c r="E541" s="8">
        <v>378.7</v>
      </c>
      <c r="F541" s="8">
        <v>800</v>
      </c>
      <c r="G541" s="8">
        <v>2330</v>
      </c>
      <c r="H541" s="8">
        <v>394.95</v>
      </c>
      <c r="I541" s="8">
        <v>2724.95</v>
      </c>
      <c r="J541" s="7" t="s">
        <v>14</v>
      </c>
    </row>
    <row r="542" spans="1:10" x14ac:dyDescent="0.3">
      <c r="A542" s="10">
        <v>43483</v>
      </c>
      <c r="B542" t="s">
        <v>40</v>
      </c>
      <c r="C542" s="8">
        <v>378.7</v>
      </c>
      <c r="D542" s="7">
        <v>0</v>
      </c>
      <c r="E542" s="8">
        <v>32.49</v>
      </c>
      <c r="F542" s="8">
        <v>0</v>
      </c>
      <c r="G542" s="8">
        <v>411.19</v>
      </c>
      <c r="H542" s="8">
        <v>41.36</v>
      </c>
      <c r="I542" s="8">
        <v>452.55</v>
      </c>
      <c r="J542" s="7" t="s">
        <v>14</v>
      </c>
    </row>
    <row r="543" spans="1:10" x14ac:dyDescent="0.3">
      <c r="A543" s="10">
        <v>43483</v>
      </c>
      <c r="B543" t="s">
        <v>40</v>
      </c>
      <c r="C543" s="8">
        <v>0</v>
      </c>
      <c r="D543" s="7">
        <v>0</v>
      </c>
      <c r="E543" s="8">
        <v>0</v>
      </c>
      <c r="F543" s="8">
        <v>0</v>
      </c>
      <c r="G543" s="8">
        <v>0</v>
      </c>
      <c r="H543" s="8">
        <v>0</v>
      </c>
      <c r="I543" s="8">
        <v>0</v>
      </c>
    </row>
    <row r="544" spans="1:10" x14ac:dyDescent="0.3">
      <c r="A544" s="10">
        <v>43497</v>
      </c>
      <c r="B544" t="s">
        <v>40</v>
      </c>
      <c r="C544" s="8">
        <v>1658</v>
      </c>
      <c r="D544" s="7">
        <v>80</v>
      </c>
      <c r="E544" s="8">
        <v>495.16</v>
      </c>
      <c r="F544" s="8">
        <v>762</v>
      </c>
      <c r="G544" s="8">
        <v>2915.16</v>
      </c>
      <c r="H544" s="8">
        <v>449.39</v>
      </c>
      <c r="I544" s="8">
        <v>3364.55</v>
      </c>
      <c r="J544" s="7" t="s">
        <v>14</v>
      </c>
    </row>
    <row r="545" spans="1:10" x14ac:dyDescent="0.3">
      <c r="A545" s="10">
        <v>43511</v>
      </c>
      <c r="B545" t="s">
        <v>40</v>
      </c>
      <c r="C545" s="8">
        <v>0</v>
      </c>
      <c r="D545" s="7">
        <v>0</v>
      </c>
      <c r="E545" s="8">
        <v>0</v>
      </c>
      <c r="F545" s="8">
        <v>0</v>
      </c>
      <c r="G545" s="8">
        <v>0</v>
      </c>
      <c r="H545" s="8">
        <v>-15.88</v>
      </c>
      <c r="I545" s="8">
        <v>-15.88</v>
      </c>
    </row>
    <row r="546" spans="1:10" x14ac:dyDescent="0.3">
      <c r="A546" s="10">
        <v>43511</v>
      </c>
      <c r="B546" t="s">
        <v>40</v>
      </c>
      <c r="C546" s="8">
        <v>0</v>
      </c>
      <c r="D546" s="7">
        <v>0</v>
      </c>
      <c r="E546" s="8">
        <v>-0.01</v>
      </c>
      <c r="F546" s="8">
        <v>0.01</v>
      </c>
      <c r="G546" s="8">
        <v>0</v>
      </c>
      <c r="H546" s="8">
        <v>0</v>
      </c>
      <c r="I546" s="8">
        <v>0</v>
      </c>
    </row>
    <row r="547" spans="1:10" x14ac:dyDescent="0.3">
      <c r="A547" s="10">
        <v>43511</v>
      </c>
      <c r="B547" t="s">
        <v>40</v>
      </c>
      <c r="C547" s="8">
        <v>1440</v>
      </c>
      <c r="D547" s="7">
        <v>72</v>
      </c>
      <c r="E547" s="8">
        <v>165.1</v>
      </c>
      <c r="F547" s="8">
        <v>0</v>
      </c>
      <c r="G547" s="8">
        <v>1605.1</v>
      </c>
      <c r="H547" s="8">
        <v>296.32</v>
      </c>
      <c r="I547" s="8">
        <v>1901.42</v>
      </c>
      <c r="J547" s="7" t="s">
        <v>14</v>
      </c>
    </row>
    <row r="548" spans="1:10" x14ac:dyDescent="0.3">
      <c r="A548" s="21" t="s">
        <v>15</v>
      </c>
      <c r="B548" s="22" t="str">
        <f>+B547</f>
        <v>*Martin M. Ayala Ochoa</v>
      </c>
      <c r="C548" s="23">
        <f>SUM(C536:C547)</f>
        <v>10422</v>
      </c>
      <c r="D548" s="23">
        <f t="shared" ref="D548:I548" si="24">SUM(D536:D547)</f>
        <v>546</v>
      </c>
      <c r="E548" s="23">
        <f t="shared" si="24"/>
        <v>2340.5899999999997</v>
      </c>
      <c r="F548" s="23">
        <f t="shared" si="24"/>
        <v>3242.01</v>
      </c>
      <c r="G548" s="23">
        <f t="shared" si="24"/>
        <v>16004.6</v>
      </c>
      <c r="H548" s="23">
        <f t="shared" si="24"/>
        <v>2675.82</v>
      </c>
      <c r="I548" s="23">
        <f t="shared" si="24"/>
        <v>18680.419999999998</v>
      </c>
      <c r="J548" s="24"/>
    </row>
    <row r="549" spans="1:10" x14ac:dyDescent="0.3">
      <c r="A549" s="10">
        <v>43497</v>
      </c>
      <c r="B549" t="s">
        <v>41</v>
      </c>
      <c r="C549" s="8">
        <v>620</v>
      </c>
      <c r="D549" s="7">
        <v>36.5</v>
      </c>
      <c r="E549" s="8">
        <v>74.260000000000005</v>
      </c>
      <c r="F549" s="8">
        <v>0</v>
      </c>
      <c r="G549" s="8">
        <v>694.26</v>
      </c>
      <c r="H549" s="8">
        <v>143.09</v>
      </c>
      <c r="I549" s="8">
        <v>837.35</v>
      </c>
      <c r="J549" s="7">
        <v>100147</v>
      </c>
    </row>
    <row r="550" spans="1:10" x14ac:dyDescent="0.3">
      <c r="A550" s="10">
        <v>43511</v>
      </c>
      <c r="B550" t="s">
        <v>41</v>
      </c>
      <c r="C550" s="8">
        <v>1555</v>
      </c>
      <c r="D550" s="7">
        <v>80</v>
      </c>
      <c r="E550" s="8">
        <v>179.58</v>
      </c>
      <c r="F550" s="8">
        <v>0</v>
      </c>
      <c r="G550" s="8">
        <v>1734.58</v>
      </c>
      <c r="H550" s="8">
        <v>335.04</v>
      </c>
      <c r="I550" s="8">
        <v>2069.62</v>
      </c>
      <c r="J550" s="7">
        <v>100155</v>
      </c>
    </row>
    <row r="551" spans="1:10" x14ac:dyDescent="0.3">
      <c r="A551" s="10">
        <v>43525</v>
      </c>
      <c r="B551" t="s">
        <v>41</v>
      </c>
      <c r="C551" s="8">
        <v>1490</v>
      </c>
      <c r="D551" s="7">
        <v>80</v>
      </c>
      <c r="E551" s="8">
        <v>177.43</v>
      </c>
      <c r="F551" s="8">
        <v>40</v>
      </c>
      <c r="G551" s="8">
        <v>1707.43</v>
      </c>
      <c r="H551" s="8">
        <v>332.31</v>
      </c>
      <c r="I551" s="8">
        <v>2039.74</v>
      </c>
      <c r="J551" s="7">
        <v>100158</v>
      </c>
    </row>
    <row r="552" spans="1:10" x14ac:dyDescent="0.3">
      <c r="A552" s="10">
        <v>43539</v>
      </c>
      <c r="B552" t="s">
        <v>41</v>
      </c>
      <c r="C552" s="8">
        <v>1389</v>
      </c>
      <c r="D552" s="7">
        <v>80</v>
      </c>
      <c r="E552" s="8">
        <v>312.86</v>
      </c>
      <c r="F552" s="8">
        <v>200</v>
      </c>
      <c r="G552" s="8">
        <v>1901.86</v>
      </c>
      <c r="H552" s="8">
        <v>351.85</v>
      </c>
      <c r="I552" s="8">
        <v>2253.71</v>
      </c>
      <c r="J552" s="7">
        <v>100164</v>
      </c>
    </row>
    <row r="553" spans="1:10" x14ac:dyDescent="0.3">
      <c r="A553" s="10">
        <v>43539</v>
      </c>
      <c r="B553" t="s">
        <v>41</v>
      </c>
      <c r="C553" s="8">
        <v>0</v>
      </c>
      <c r="D553" s="7">
        <v>0</v>
      </c>
      <c r="E553" s="8">
        <v>-0.01</v>
      </c>
      <c r="F553" s="8">
        <v>0.01</v>
      </c>
      <c r="G553" s="8">
        <v>0</v>
      </c>
      <c r="H553" s="8">
        <v>0</v>
      </c>
      <c r="I553" s="8">
        <v>0</v>
      </c>
    </row>
    <row r="554" spans="1:10" x14ac:dyDescent="0.3">
      <c r="A554" s="10">
        <v>43553</v>
      </c>
      <c r="B554" t="s">
        <v>41</v>
      </c>
      <c r="C554" s="8">
        <v>629</v>
      </c>
      <c r="D554" s="7">
        <v>37</v>
      </c>
      <c r="E554" s="8">
        <v>75.319999999999993</v>
      </c>
      <c r="F554" s="8">
        <v>0</v>
      </c>
      <c r="G554" s="8">
        <v>704.32</v>
      </c>
      <c r="H554" s="8">
        <v>145.11000000000001</v>
      </c>
      <c r="I554" s="8">
        <v>849.43</v>
      </c>
      <c r="J554" s="7">
        <v>100169</v>
      </c>
    </row>
    <row r="555" spans="1:10" x14ac:dyDescent="0.3">
      <c r="A555" s="10">
        <v>43553</v>
      </c>
      <c r="B555" t="s">
        <v>41</v>
      </c>
      <c r="C555" s="8">
        <v>0</v>
      </c>
      <c r="D555" s="7">
        <v>0</v>
      </c>
      <c r="E555" s="8">
        <v>0</v>
      </c>
      <c r="F555" s="8">
        <v>0</v>
      </c>
      <c r="G555" s="8">
        <v>0</v>
      </c>
      <c r="H555" s="8">
        <v>-11.46</v>
      </c>
      <c r="I555" s="8">
        <v>-11.46</v>
      </c>
    </row>
    <row r="556" spans="1:10" x14ac:dyDescent="0.3">
      <c r="A556" s="10">
        <v>43581</v>
      </c>
      <c r="B556" t="s">
        <v>41</v>
      </c>
      <c r="C556" s="8">
        <v>1584</v>
      </c>
      <c r="D556" s="7">
        <v>80</v>
      </c>
      <c r="E556" s="8">
        <v>311.62</v>
      </c>
      <c r="F556" s="8">
        <v>0</v>
      </c>
      <c r="G556" s="8">
        <v>1895.62</v>
      </c>
      <c r="H556" s="8">
        <v>338.19</v>
      </c>
      <c r="I556" s="8">
        <v>2233.81</v>
      </c>
      <c r="J556" s="7" t="s">
        <v>14</v>
      </c>
    </row>
    <row r="557" spans="1:10" x14ac:dyDescent="0.3">
      <c r="A557" s="10">
        <v>43595</v>
      </c>
      <c r="B557" t="s">
        <v>41</v>
      </c>
      <c r="C557" s="8">
        <v>1656</v>
      </c>
      <c r="D557" s="7">
        <v>80</v>
      </c>
      <c r="E557" s="8">
        <v>329.51</v>
      </c>
      <c r="F557" s="8">
        <v>0</v>
      </c>
      <c r="G557" s="8">
        <v>1985.51</v>
      </c>
      <c r="H557" s="8">
        <v>344.99</v>
      </c>
      <c r="I557" s="8">
        <v>2330.5</v>
      </c>
      <c r="J557" s="7" t="s">
        <v>14</v>
      </c>
    </row>
    <row r="558" spans="1:10" x14ac:dyDescent="0.3">
      <c r="A558" s="10">
        <v>43609</v>
      </c>
      <c r="B558" t="s">
        <v>41</v>
      </c>
      <c r="C558" s="8">
        <v>1863</v>
      </c>
      <c r="D558" s="7">
        <v>80</v>
      </c>
      <c r="E558" s="8">
        <v>380.96</v>
      </c>
      <c r="F558" s="8">
        <v>0</v>
      </c>
      <c r="G558" s="8">
        <v>2243.96</v>
      </c>
      <c r="H558" s="8">
        <v>369.02</v>
      </c>
      <c r="I558" s="8">
        <v>2612.98</v>
      </c>
      <c r="J558" s="7" t="s">
        <v>14</v>
      </c>
    </row>
    <row r="559" spans="1:10" x14ac:dyDescent="0.3">
      <c r="A559" s="10">
        <v>43623</v>
      </c>
      <c r="B559" t="s">
        <v>41</v>
      </c>
      <c r="C559" s="8">
        <v>1611</v>
      </c>
      <c r="D559" s="7">
        <v>80</v>
      </c>
      <c r="E559" s="8">
        <v>318.33</v>
      </c>
      <c r="F559" s="8">
        <v>0</v>
      </c>
      <c r="G559" s="8">
        <v>1929.33</v>
      </c>
      <c r="H559" s="8">
        <v>339.77</v>
      </c>
      <c r="I559" s="8">
        <v>2269.1</v>
      </c>
      <c r="J559" s="7" t="s">
        <v>14</v>
      </c>
    </row>
    <row r="560" spans="1:10" x14ac:dyDescent="0.3">
      <c r="A560" s="10">
        <v>43637</v>
      </c>
      <c r="B560" t="s">
        <v>41</v>
      </c>
      <c r="C560" s="8">
        <v>1836</v>
      </c>
      <c r="D560" s="7">
        <v>80</v>
      </c>
      <c r="E560" s="8">
        <v>239.44</v>
      </c>
      <c r="F560" s="8">
        <v>0</v>
      </c>
      <c r="G560" s="8">
        <v>2075.44</v>
      </c>
      <c r="H560" s="8">
        <v>353.35</v>
      </c>
      <c r="I560" s="8">
        <v>2428.79</v>
      </c>
      <c r="J560" s="7" t="s">
        <v>14</v>
      </c>
    </row>
    <row r="561" spans="1:10" x14ac:dyDescent="0.3">
      <c r="A561" s="10">
        <v>43651</v>
      </c>
      <c r="B561" t="s">
        <v>41</v>
      </c>
      <c r="C561" s="8">
        <v>1615</v>
      </c>
      <c r="D561" s="7">
        <v>80</v>
      </c>
      <c r="E561" s="8">
        <v>191.25</v>
      </c>
      <c r="F561" s="8">
        <v>0</v>
      </c>
      <c r="G561" s="8">
        <v>1806.25</v>
      </c>
      <c r="H561" s="8">
        <v>328.34</v>
      </c>
      <c r="I561" s="8">
        <v>2134.59</v>
      </c>
      <c r="J561" s="7" t="s">
        <v>14</v>
      </c>
    </row>
    <row r="562" spans="1:10" x14ac:dyDescent="0.3">
      <c r="A562" s="10">
        <v>43665</v>
      </c>
      <c r="B562" t="s">
        <v>41</v>
      </c>
      <c r="C562" s="8">
        <v>1458</v>
      </c>
      <c r="D562" s="7">
        <v>80</v>
      </c>
      <c r="E562" s="8">
        <v>171.24</v>
      </c>
      <c r="F562" s="8">
        <v>0</v>
      </c>
      <c r="G562" s="8">
        <v>1629.24</v>
      </c>
      <c r="H562" s="8">
        <v>311.89</v>
      </c>
      <c r="I562" s="8">
        <v>1941.13</v>
      </c>
      <c r="J562" s="7" t="s">
        <v>14</v>
      </c>
    </row>
    <row r="563" spans="1:10" x14ac:dyDescent="0.3">
      <c r="A563" s="10">
        <v>43679</v>
      </c>
      <c r="B563" t="s">
        <v>41</v>
      </c>
      <c r="C563" s="8">
        <v>1809</v>
      </c>
      <c r="D563" s="7">
        <v>80</v>
      </c>
      <c r="E563" s="8">
        <v>233.56</v>
      </c>
      <c r="F563" s="8">
        <v>-0.01</v>
      </c>
      <c r="G563" s="8">
        <v>2042.55</v>
      </c>
      <c r="H563" s="8">
        <v>350.3</v>
      </c>
      <c r="I563" s="8">
        <v>2392.85</v>
      </c>
      <c r="J563" s="7" t="s">
        <v>14</v>
      </c>
    </row>
    <row r="564" spans="1:10" x14ac:dyDescent="0.3">
      <c r="A564" s="10">
        <v>43693</v>
      </c>
      <c r="B564" t="s">
        <v>41</v>
      </c>
      <c r="C564" s="8">
        <v>1948</v>
      </c>
      <c r="D564" s="7">
        <v>80</v>
      </c>
      <c r="E564" s="8">
        <v>263.87</v>
      </c>
      <c r="F564" s="8">
        <v>0</v>
      </c>
      <c r="G564" s="8">
        <v>2211.87</v>
      </c>
      <c r="H564" s="8">
        <v>366.03</v>
      </c>
      <c r="I564" s="8">
        <v>2577.9</v>
      </c>
      <c r="J564" s="7" t="s">
        <v>14</v>
      </c>
    </row>
    <row r="565" spans="1:10" x14ac:dyDescent="0.3">
      <c r="A565" s="10">
        <v>43707</v>
      </c>
      <c r="B565" t="s">
        <v>41</v>
      </c>
      <c r="C565" s="8">
        <v>2126</v>
      </c>
      <c r="D565" s="7">
        <v>80</v>
      </c>
      <c r="E565" s="8">
        <v>309.23</v>
      </c>
      <c r="F565" s="8">
        <v>30</v>
      </c>
      <c r="G565" s="8">
        <v>2465.23</v>
      </c>
      <c r="H565" s="8">
        <v>389.55</v>
      </c>
      <c r="I565" s="8">
        <v>2854.78</v>
      </c>
      <c r="J565" s="7" t="s">
        <v>14</v>
      </c>
    </row>
    <row r="566" spans="1:10" x14ac:dyDescent="0.3">
      <c r="A566" s="10">
        <v>43721</v>
      </c>
      <c r="B566" t="s">
        <v>41</v>
      </c>
      <c r="C566" s="8">
        <v>1653</v>
      </c>
      <c r="D566" s="7">
        <v>80</v>
      </c>
      <c r="E566" s="8">
        <v>199.54</v>
      </c>
      <c r="F566" s="8">
        <v>0</v>
      </c>
      <c r="G566" s="8">
        <v>1852.54</v>
      </c>
      <c r="H566" s="8">
        <v>332.64</v>
      </c>
      <c r="I566" s="8">
        <v>2185.1799999999998</v>
      </c>
      <c r="J566" s="7" t="s">
        <v>14</v>
      </c>
    </row>
    <row r="567" spans="1:10" x14ac:dyDescent="0.3">
      <c r="A567" s="21" t="s">
        <v>15</v>
      </c>
      <c r="B567" s="22" t="str">
        <f>+B566</f>
        <v>*MATIAS I. CATALAN TORO</v>
      </c>
      <c r="C567" s="23">
        <f t="shared" ref="C567:I567" si="25">SUM(C549:C566)</f>
        <v>24842</v>
      </c>
      <c r="D567" s="23">
        <f t="shared" si="25"/>
        <v>1193.5</v>
      </c>
      <c r="E567" s="23">
        <f t="shared" si="25"/>
        <v>3767.99</v>
      </c>
      <c r="F567" s="23">
        <f t="shared" si="25"/>
        <v>270</v>
      </c>
      <c r="G567" s="23">
        <f t="shared" si="25"/>
        <v>28879.99</v>
      </c>
      <c r="H567" s="23">
        <f t="shared" si="25"/>
        <v>5120.0100000000011</v>
      </c>
      <c r="I567" s="23">
        <f t="shared" si="25"/>
        <v>34000</v>
      </c>
      <c r="J567" s="24"/>
    </row>
    <row r="568" spans="1:10" x14ac:dyDescent="0.3">
      <c r="A568" s="10">
        <v>43511</v>
      </c>
      <c r="B568" t="s">
        <v>42</v>
      </c>
      <c r="C568" s="8">
        <v>1438</v>
      </c>
      <c r="D568" s="7">
        <v>80</v>
      </c>
      <c r="E568" s="8">
        <v>186.7</v>
      </c>
      <c r="F568" s="8">
        <v>200</v>
      </c>
      <c r="G568" s="8">
        <v>1824.7</v>
      </c>
      <c r="H568" s="8">
        <v>344.1</v>
      </c>
      <c r="I568" s="8">
        <v>2168.8000000000002</v>
      </c>
      <c r="J568" s="7">
        <v>100149</v>
      </c>
    </row>
    <row r="569" spans="1:10" x14ac:dyDescent="0.3">
      <c r="A569" s="10">
        <v>43525</v>
      </c>
      <c r="B569" t="s">
        <v>42</v>
      </c>
      <c r="C569" s="8">
        <v>0</v>
      </c>
      <c r="D569" s="7">
        <v>0</v>
      </c>
      <c r="E569" s="8">
        <v>-0.01</v>
      </c>
      <c r="F569" s="8">
        <v>0.01</v>
      </c>
      <c r="G569" s="8">
        <v>0</v>
      </c>
      <c r="H569" s="8">
        <v>0</v>
      </c>
      <c r="I569" s="8">
        <v>0</v>
      </c>
    </row>
    <row r="570" spans="1:10" x14ac:dyDescent="0.3">
      <c r="A570" s="10">
        <v>43525</v>
      </c>
      <c r="B570" t="s">
        <v>42</v>
      </c>
      <c r="C570" s="8">
        <v>1252</v>
      </c>
      <c r="D570" s="7">
        <v>80</v>
      </c>
      <c r="E570" s="8">
        <v>191.34</v>
      </c>
      <c r="F570" s="8">
        <v>440</v>
      </c>
      <c r="G570" s="8">
        <v>1883.34</v>
      </c>
      <c r="H570" s="8">
        <v>350.01</v>
      </c>
      <c r="I570" s="8">
        <v>2233.35</v>
      </c>
      <c r="J570" s="7">
        <v>100157</v>
      </c>
    </row>
    <row r="571" spans="1:10" x14ac:dyDescent="0.3">
      <c r="A571" s="10">
        <v>43539</v>
      </c>
      <c r="B571" t="s">
        <v>42</v>
      </c>
      <c r="C571" s="8">
        <v>1313</v>
      </c>
      <c r="D571" s="7">
        <v>80</v>
      </c>
      <c r="E571" s="8">
        <v>503.88</v>
      </c>
      <c r="F571" s="8">
        <v>604</v>
      </c>
      <c r="G571" s="8">
        <v>2420.88</v>
      </c>
      <c r="H571" s="8">
        <v>404.07</v>
      </c>
      <c r="I571" s="8">
        <v>2824.95</v>
      </c>
      <c r="J571" s="7" t="s">
        <v>14</v>
      </c>
    </row>
    <row r="572" spans="1:10" x14ac:dyDescent="0.3">
      <c r="A572" s="10">
        <v>43539</v>
      </c>
      <c r="B572" t="s">
        <v>42</v>
      </c>
      <c r="C572" s="8">
        <v>0</v>
      </c>
      <c r="D572" s="7">
        <v>0</v>
      </c>
      <c r="E572" s="8">
        <v>-0.01</v>
      </c>
      <c r="F572" s="8">
        <v>0.01</v>
      </c>
      <c r="G572" s="8">
        <v>0</v>
      </c>
      <c r="H572" s="8">
        <v>0</v>
      </c>
      <c r="I572" s="8">
        <v>0</v>
      </c>
    </row>
    <row r="573" spans="1:10" x14ac:dyDescent="0.3">
      <c r="A573" s="10">
        <v>43553</v>
      </c>
      <c r="B573" t="s">
        <v>42</v>
      </c>
      <c r="C573" s="8">
        <v>0</v>
      </c>
      <c r="D573" s="7">
        <v>0</v>
      </c>
      <c r="E573" s="8">
        <v>0</v>
      </c>
      <c r="F573" s="8">
        <v>0</v>
      </c>
      <c r="G573" s="8">
        <v>0</v>
      </c>
      <c r="H573" s="8">
        <v>-10.61</v>
      </c>
      <c r="I573" s="8">
        <v>-10.61</v>
      </c>
    </row>
    <row r="574" spans="1:10" x14ac:dyDescent="0.3">
      <c r="A574" s="10">
        <v>43553</v>
      </c>
      <c r="B574" t="s">
        <v>42</v>
      </c>
      <c r="C574" s="8">
        <v>100</v>
      </c>
      <c r="D574" s="7">
        <v>5.5</v>
      </c>
      <c r="E574" s="8">
        <v>11.75</v>
      </c>
      <c r="F574" s="8">
        <v>0</v>
      </c>
      <c r="G574" s="8">
        <v>111.75</v>
      </c>
      <c r="H574" s="8">
        <v>22.28</v>
      </c>
      <c r="I574" s="8">
        <v>134.03</v>
      </c>
      <c r="J574" s="7" t="s">
        <v>14</v>
      </c>
    </row>
    <row r="575" spans="1:10" x14ac:dyDescent="0.3">
      <c r="A575" s="21" t="s">
        <v>15</v>
      </c>
      <c r="B575" s="22" t="str">
        <f>+B574</f>
        <v>*MIGUEL A. ARVIZU ESCAMILLA</v>
      </c>
      <c r="C575" s="23">
        <f>SUM(C568:C574)</f>
        <v>4103</v>
      </c>
      <c r="D575" s="23">
        <f t="shared" ref="D575:I575" si="26">SUM(D568:D574)</f>
        <v>245.5</v>
      </c>
      <c r="E575" s="23">
        <f t="shared" si="26"/>
        <v>893.65</v>
      </c>
      <c r="F575" s="23">
        <f t="shared" si="26"/>
        <v>1244.02</v>
      </c>
      <c r="G575" s="23">
        <f t="shared" si="26"/>
        <v>6240.67</v>
      </c>
      <c r="H575" s="23">
        <f t="shared" si="26"/>
        <v>1109.8500000000001</v>
      </c>
      <c r="I575" s="23">
        <f t="shared" si="26"/>
        <v>7350.5199999999995</v>
      </c>
      <c r="J575" s="24"/>
    </row>
    <row r="576" spans="1:10" x14ac:dyDescent="0.3">
      <c r="A576" s="10">
        <v>43441</v>
      </c>
      <c r="B576" t="s">
        <v>43</v>
      </c>
      <c r="C576" s="8">
        <v>720</v>
      </c>
      <c r="D576" s="7">
        <v>40</v>
      </c>
      <c r="E576" s="8">
        <v>104.69</v>
      </c>
      <c r="F576" s="8">
        <v>0</v>
      </c>
      <c r="G576" s="8">
        <v>824.69</v>
      </c>
      <c r="H576" s="8">
        <v>163.22999999999999</v>
      </c>
      <c r="I576" s="8">
        <v>987.92</v>
      </c>
      <c r="J576" s="7">
        <v>100109</v>
      </c>
    </row>
    <row r="577" spans="1:10" x14ac:dyDescent="0.3">
      <c r="A577" s="10">
        <v>43455</v>
      </c>
      <c r="B577" t="s">
        <v>43</v>
      </c>
      <c r="C577" s="8">
        <v>1328</v>
      </c>
      <c r="D577" s="7">
        <v>80</v>
      </c>
      <c r="E577" s="8">
        <v>373.59</v>
      </c>
      <c r="F577" s="8">
        <v>400</v>
      </c>
      <c r="G577" s="8">
        <v>2101.59</v>
      </c>
      <c r="H577" s="8">
        <v>371.96</v>
      </c>
      <c r="I577" s="8">
        <v>2473.5500000000002</v>
      </c>
      <c r="J577" s="7">
        <v>100117</v>
      </c>
    </row>
    <row r="578" spans="1:10" x14ac:dyDescent="0.3">
      <c r="A578" s="10">
        <v>43469</v>
      </c>
      <c r="B578" t="s">
        <v>43</v>
      </c>
      <c r="C578" s="8">
        <v>0</v>
      </c>
      <c r="D578" s="7">
        <v>0</v>
      </c>
      <c r="E578" s="8">
        <v>0</v>
      </c>
      <c r="F578" s="8">
        <v>0</v>
      </c>
      <c r="G578" s="8">
        <v>0</v>
      </c>
      <c r="H578" s="8">
        <v>0</v>
      </c>
      <c r="I578" s="8">
        <v>0</v>
      </c>
    </row>
    <row r="579" spans="1:10" x14ac:dyDescent="0.3">
      <c r="A579" s="10">
        <v>43469</v>
      </c>
      <c r="B579" t="s">
        <v>43</v>
      </c>
      <c r="C579" s="8">
        <v>1144</v>
      </c>
      <c r="D579" s="7">
        <v>80</v>
      </c>
      <c r="E579" s="8">
        <v>320.48</v>
      </c>
      <c r="F579" s="8">
        <v>350</v>
      </c>
      <c r="G579" s="8">
        <v>1814.48</v>
      </c>
      <c r="H579" s="8">
        <v>343.08</v>
      </c>
      <c r="I579" s="8">
        <v>2157.56</v>
      </c>
      <c r="J579" s="7">
        <v>100123</v>
      </c>
    </row>
    <row r="580" spans="1:10" x14ac:dyDescent="0.3">
      <c r="A580" s="10">
        <v>43469</v>
      </c>
      <c r="B580" t="s">
        <v>43</v>
      </c>
      <c r="C580" s="8">
        <v>0</v>
      </c>
      <c r="D580" s="7">
        <v>0</v>
      </c>
      <c r="E580" s="8">
        <v>-0.01</v>
      </c>
      <c r="F580" s="8">
        <v>0.01</v>
      </c>
      <c r="G580" s="8">
        <v>0</v>
      </c>
      <c r="H580" s="8">
        <v>0</v>
      </c>
      <c r="I580" s="8">
        <v>0</v>
      </c>
    </row>
    <row r="581" spans="1:10" x14ac:dyDescent="0.3">
      <c r="A581" s="10">
        <v>43483</v>
      </c>
      <c r="B581" t="s">
        <v>43</v>
      </c>
      <c r="C581" s="8">
        <v>1136</v>
      </c>
      <c r="D581" s="7">
        <v>80</v>
      </c>
      <c r="E581" s="8">
        <v>180.51</v>
      </c>
      <c r="F581" s="8">
        <v>430</v>
      </c>
      <c r="G581" s="8">
        <v>1746.51</v>
      </c>
      <c r="H581" s="8">
        <v>336.23</v>
      </c>
      <c r="I581" s="8">
        <v>2082.7399999999998</v>
      </c>
      <c r="J581" s="7">
        <v>100132</v>
      </c>
    </row>
    <row r="582" spans="1:10" x14ac:dyDescent="0.3">
      <c r="A582" s="10">
        <v>43483</v>
      </c>
      <c r="B582" t="s">
        <v>43</v>
      </c>
      <c r="C582" s="8">
        <v>0</v>
      </c>
      <c r="D582" s="7">
        <v>0</v>
      </c>
      <c r="E582" s="8">
        <v>0</v>
      </c>
      <c r="F582" s="8">
        <v>0</v>
      </c>
      <c r="G582" s="8">
        <v>0</v>
      </c>
      <c r="H582" s="8">
        <v>0</v>
      </c>
      <c r="I582" s="8">
        <v>0</v>
      </c>
    </row>
    <row r="583" spans="1:10" x14ac:dyDescent="0.3">
      <c r="A583" s="10">
        <v>43497</v>
      </c>
      <c r="B583" t="s">
        <v>43</v>
      </c>
      <c r="C583" s="8">
        <v>1648</v>
      </c>
      <c r="D583" s="7">
        <v>80</v>
      </c>
      <c r="E583" s="8">
        <v>358.75</v>
      </c>
      <c r="F583" s="8">
        <v>0</v>
      </c>
      <c r="G583" s="8">
        <v>2006.75</v>
      </c>
      <c r="H583" s="8">
        <v>362.42</v>
      </c>
      <c r="I583" s="8">
        <v>2369.17</v>
      </c>
      <c r="J583" s="7">
        <v>100141</v>
      </c>
    </row>
    <row r="584" spans="1:10" x14ac:dyDescent="0.3">
      <c r="A584" s="10">
        <v>43511</v>
      </c>
      <c r="B584" t="s">
        <v>43</v>
      </c>
      <c r="C584" s="8">
        <v>1911</v>
      </c>
      <c r="D584" s="7">
        <v>80</v>
      </c>
      <c r="E584" s="8">
        <v>210.13</v>
      </c>
      <c r="F584" s="8">
        <v>0</v>
      </c>
      <c r="G584" s="8">
        <v>2121.13</v>
      </c>
      <c r="H584" s="8">
        <v>369.79</v>
      </c>
      <c r="I584" s="8">
        <v>2490.92</v>
      </c>
      <c r="J584" s="7" t="s">
        <v>14</v>
      </c>
    </row>
    <row r="585" spans="1:10" x14ac:dyDescent="0.3">
      <c r="A585" s="10">
        <v>43523</v>
      </c>
      <c r="B585" t="s">
        <v>43</v>
      </c>
      <c r="C585" s="8">
        <v>1687</v>
      </c>
      <c r="D585" s="7">
        <v>0</v>
      </c>
      <c r="E585" s="8">
        <v>315.38</v>
      </c>
      <c r="F585" s="8">
        <v>0</v>
      </c>
      <c r="G585" s="8">
        <v>2002.38</v>
      </c>
      <c r="H585" s="8">
        <v>189.42</v>
      </c>
      <c r="I585" s="8">
        <v>2191.8000000000002</v>
      </c>
      <c r="J585" s="7" t="s">
        <v>14</v>
      </c>
    </row>
    <row r="586" spans="1:10" x14ac:dyDescent="0.3">
      <c r="A586" s="10">
        <v>43539</v>
      </c>
      <c r="B586" t="s">
        <v>43</v>
      </c>
      <c r="C586" s="8">
        <v>2236</v>
      </c>
      <c r="D586" s="7">
        <v>80</v>
      </c>
      <c r="E586" s="8">
        <v>589.29999999999995</v>
      </c>
      <c r="F586" s="8">
        <v>0</v>
      </c>
      <c r="G586" s="8">
        <v>2825.3</v>
      </c>
      <c r="H586" s="8">
        <v>427.83</v>
      </c>
      <c r="I586" s="8">
        <v>3253.13</v>
      </c>
      <c r="J586" s="7" t="s">
        <v>14</v>
      </c>
    </row>
    <row r="587" spans="1:10" x14ac:dyDescent="0.3">
      <c r="A587" s="10">
        <v>43539</v>
      </c>
      <c r="B587" t="s">
        <v>43</v>
      </c>
      <c r="C587" s="8">
        <v>0</v>
      </c>
      <c r="D587" s="7">
        <v>0</v>
      </c>
      <c r="E587" s="8">
        <v>-0.01</v>
      </c>
      <c r="F587" s="8">
        <v>0.01</v>
      </c>
      <c r="G587" s="8">
        <v>0</v>
      </c>
      <c r="H587" s="8">
        <v>0</v>
      </c>
      <c r="I587" s="8">
        <v>0</v>
      </c>
    </row>
    <row r="588" spans="1:10" x14ac:dyDescent="0.3">
      <c r="A588" s="10">
        <v>43553</v>
      </c>
      <c r="B588" t="s">
        <v>43</v>
      </c>
      <c r="C588" s="8">
        <v>0</v>
      </c>
      <c r="D588" s="7">
        <v>0</v>
      </c>
      <c r="E588" s="8">
        <v>0</v>
      </c>
      <c r="F588" s="8">
        <v>0</v>
      </c>
      <c r="G588" s="8">
        <v>0</v>
      </c>
      <c r="H588" s="8">
        <v>-24.66</v>
      </c>
      <c r="I588" s="8">
        <v>-24.66</v>
      </c>
    </row>
    <row r="589" spans="1:10" x14ac:dyDescent="0.3">
      <c r="A589" s="10">
        <v>43553</v>
      </c>
      <c r="B589" t="s">
        <v>43</v>
      </c>
      <c r="C589" s="8">
        <v>1288</v>
      </c>
      <c r="D589" s="7">
        <v>80</v>
      </c>
      <c r="E589" s="8">
        <v>356.26</v>
      </c>
      <c r="F589" s="8">
        <v>350</v>
      </c>
      <c r="G589" s="8">
        <v>1994.26</v>
      </c>
      <c r="H589" s="8">
        <v>349.19</v>
      </c>
      <c r="I589" s="8">
        <v>2343.4499999999998</v>
      </c>
      <c r="J589" s="7" t="s">
        <v>14</v>
      </c>
    </row>
    <row r="590" spans="1:10" x14ac:dyDescent="0.3">
      <c r="A590" s="10">
        <v>43567</v>
      </c>
      <c r="B590" t="s">
        <v>43</v>
      </c>
      <c r="C590" s="8">
        <v>0</v>
      </c>
      <c r="D590" s="7">
        <v>0</v>
      </c>
      <c r="E590" s="8">
        <v>0</v>
      </c>
      <c r="F590" s="8">
        <v>0</v>
      </c>
      <c r="G590" s="8">
        <v>0</v>
      </c>
      <c r="H590" s="8">
        <v>-3.86</v>
      </c>
      <c r="I590" s="8">
        <v>-3.86</v>
      </c>
    </row>
    <row r="591" spans="1:10" x14ac:dyDescent="0.3">
      <c r="A591" s="10">
        <v>43567</v>
      </c>
      <c r="B591" t="s">
        <v>43</v>
      </c>
      <c r="C591" s="8">
        <v>1808</v>
      </c>
      <c r="D591" s="7">
        <v>80</v>
      </c>
      <c r="E591" s="8">
        <v>423.76</v>
      </c>
      <c r="F591" s="8">
        <v>40</v>
      </c>
      <c r="G591" s="8">
        <v>2271.7600000000002</v>
      </c>
      <c r="H591" s="8">
        <v>375.44</v>
      </c>
      <c r="I591" s="8">
        <v>2647.2</v>
      </c>
      <c r="J591" s="7" t="s">
        <v>14</v>
      </c>
    </row>
    <row r="592" spans="1:10" x14ac:dyDescent="0.3">
      <c r="A592" s="10">
        <v>43581</v>
      </c>
      <c r="B592" t="s">
        <v>43</v>
      </c>
      <c r="C592" s="8">
        <v>1488</v>
      </c>
      <c r="D592" s="7">
        <v>80</v>
      </c>
      <c r="E592" s="8">
        <v>423.76</v>
      </c>
      <c r="F592" s="8">
        <v>360</v>
      </c>
      <c r="G592" s="8">
        <v>2271.7600000000002</v>
      </c>
      <c r="H592" s="8">
        <v>371.59</v>
      </c>
      <c r="I592" s="8">
        <v>2643.35</v>
      </c>
      <c r="J592" s="7" t="s">
        <v>14</v>
      </c>
    </row>
    <row r="593" spans="1:10" x14ac:dyDescent="0.3">
      <c r="A593" s="10">
        <v>43595</v>
      </c>
      <c r="B593" t="s">
        <v>43</v>
      </c>
      <c r="C593" s="8">
        <v>1806</v>
      </c>
      <c r="D593" s="7">
        <v>80</v>
      </c>
      <c r="E593" s="8">
        <v>405.84</v>
      </c>
      <c r="F593" s="8">
        <v>0</v>
      </c>
      <c r="G593" s="8">
        <v>2211.84</v>
      </c>
      <c r="H593" s="8">
        <v>366.01</v>
      </c>
      <c r="I593" s="8">
        <v>2577.85</v>
      </c>
      <c r="J593" s="7" t="s">
        <v>14</v>
      </c>
    </row>
    <row r="594" spans="1:10" x14ac:dyDescent="0.3">
      <c r="A594" s="10">
        <v>43609</v>
      </c>
      <c r="B594" t="s">
        <v>43</v>
      </c>
      <c r="C594" s="8">
        <v>1941</v>
      </c>
      <c r="D594" s="7">
        <v>80</v>
      </c>
      <c r="E594" s="8">
        <v>634.08000000000004</v>
      </c>
      <c r="F594" s="8">
        <v>400</v>
      </c>
      <c r="G594" s="8">
        <v>2975.08</v>
      </c>
      <c r="H594" s="8">
        <v>436.93</v>
      </c>
      <c r="I594" s="8">
        <v>3412.01</v>
      </c>
      <c r="J594" s="7" t="s">
        <v>14</v>
      </c>
    </row>
    <row r="595" spans="1:10" x14ac:dyDescent="0.3">
      <c r="A595" s="10">
        <v>43623</v>
      </c>
      <c r="B595" t="s">
        <v>43</v>
      </c>
      <c r="C595" s="8">
        <v>1933</v>
      </c>
      <c r="D595" s="7">
        <v>80</v>
      </c>
      <c r="E595" s="8">
        <v>472.81</v>
      </c>
      <c r="F595" s="8">
        <v>30</v>
      </c>
      <c r="G595" s="8">
        <v>2435.81</v>
      </c>
      <c r="H595" s="8">
        <v>386.83</v>
      </c>
      <c r="I595" s="8">
        <v>2822.64</v>
      </c>
      <c r="J595" s="7" t="s">
        <v>14</v>
      </c>
    </row>
    <row r="596" spans="1:10" x14ac:dyDescent="0.3">
      <c r="A596" s="10">
        <v>43637</v>
      </c>
      <c r="B596" t="s">
        <v>43</v>
      </c>
      <c r="C596" s="8">
        <v>1877</v>
      </c>
      <c r="D596" s="7">
        <v>80</v>
      </c>
      <c r="E596" s="8">
        <v>331.15</v>
      </c>
      <c r="F596" s="8">
        <v>370</v>
      </c>
      <c r="G596" s="8">
        <v>2578.15</v>
      </c>
      <c r="H596" s="8">
        <v>400.05</v>
      </c>
      <c r="I596" s="8">
        <v>2978.2</v>
      </c>
      <c r="J596" s="7" t="s">
        <v>14</v>
      </c>
    </row>
    <row r="597" spans="1:10" x14ac:dyDescent="0.3">
      <c r="A597" s="10">
        <v>43651</v>
      </c>
      <c r="B597" t="s">
        <v>43</v>
      </c>
      <c r="C597" s="8">
        <v>1765</v>
      </c>
      <c r="D597" s="7">
        <v>80</v>
      </c>
      <c r="E597" s="8">
        <v>200.17</v>
      </c>
      <c r="F597" s="8">
        <v>30</v>
      </c>
      <c r="G597" s="8">
        <v>1995.17</v>
      </c>
      <c r="H597" s="8">
        <v>345.89</v>
      </c>
      <c r="I597" s="8">
        <v>2341.06</v>
      </c>
      <c r="J597" s="7" t="s">
        <v>14</v>
      </c>
    </row>
    <row r="598" spans="1:10" x14ac:dyDescent="0.3">
      <c r="A598" s="21" t="s">
        <v>15</v>
      </c>
      <c r="B598" s="22" t="str">
        <f>+B597</f>
        <v>*Ramon A. Duenas Gomez</v>
      </c>
      <c r="C598" s="23">
        <f>SUM(C576:C597)</f>
        <v>25716</v>
      </c>
      <c r="D598" s="23">
        <f t="shared" ref="D598:I598" si="27">SUM(D576:D597)</f>
        <v>1160</v>
      </c>
      <c r="E598" s="23">
        <f t="shared" si="27"/>
        <v>5700.64</v>
      </c>
      <c r="F598" s="23">
        <f t="shared" si="27"/>
        <v>2760.02</v>
      </c>
      <c r="G598" s="23">
        <f t="shared" si="27"/>
        <v>34176.660000000003</v>
      </c>
      <c r="H598" s="23">
        <f t="shared" si="27"/>
        <v>5567.3700000000008</v>
      </c>
      <c r="I598" s="23">
        <f t="shared" si="27"/>
        <v>39744.029999999992</v>
      </c>
      <c r="J598" s="24"/>
    </row>
    <row r="599" spans="1:10" x14ac:dyDescent="0.3">
      <c r="A599" s="10">
        <v>43427</v>
      </c>
      <c r="B599" t="s">
        <v>44</v>
      </c>
      <c r="C599" s="8">
        <v>2929</v>
      </c>
      <c r="D599" s="7">
        <v>80</v>
      </c>
      <c r="E599" s="8">
        <v>288.64</v>
      </c>
      <c r="F599" s="8">
        <v>0</v>
      </c>
      <c r="G599" s="8">
        <v>3217.64</v>
      </c>
      <c r="H599" s="8">
        <v>484.24</v>
      </c>
      <c r="I599" s="8">
        <v>3701.88</v>
      </c>
      <c r="J599" s="7" t="s">
        <v>14</v>
      </c>
    </row>
    <row r="600" spans="1:10" x14ac:dyDescent="0.3">
      <c r="A600" s="10">
        <v>43441</v>
      </c>
      <c r="B600" t="s">
        <v>44</v>
      </c>
      <c r="C600" s="8">
        <v>1890</v>
      </c>
      <c r="D600" s="7">
        <v>70</v>
      </c>
      <c r="E600" s="8">
        <v>423.91</v>
      </c>
      <c r="F600" s="8">
        <v>0</v>
      </c>
      <c r="G600" s="8">
        <v>2313.91</v>
      </c>
      <c r="H600" s="8">
        <v>373.24</v>
      </c>
      <c r="I600" s="8">
        <v>2687.15</v>
      </c>
      <c r="J600" s="7" t="s">
        <v>14</v>
      </c>
    </row>
    <row r="601" spans="1:10" x14ac:dyDescent="0.3">
      <c r="A601" s="10">
        <v>43455</v>
      </c>
      <c r="B601" t="s">
        <v>44</v>
      </c>
      <c r="C601" s="8">
        <v>3051</v>
      </c>
      <c r="D601" s="7">
        <v>80</v>
      </c>
      <c r="E601" s="8">
        <v>763.37</v>
      </c>
      <c r="F601" s="8">
        <v>0</v>
      </c>
      <c r="G601" s="8">
        <v>3814.37</v>
      </c>
      <c r="H601" s="8">
        <v>530.19000000000005</v>
      </c>
      <c r="I601" s="8">
        <v>4344.5600000000004</v>
      </c>
      <c r="J601" s="7" t="s">
        <v>14</v>
      </c>
    </row>
    <row r="602" spans="1:10" x14ac:dyDescent="0.3">
      <c r="A602" s="10">
        <v>43469</v>
      </c>
      <c r="B602" t="s">
        <v>44</v>
      </c>
      <c r="C602" s="8">
        <v>2242</v>
      </c>
      <c r="D602" s="7">
        <v>47</v>
      </c>
      <c r="E602" s="8">
        <v>501.65</v>
      </c>
      <c r="F602" s="8">
        <v>0</v>
      </c>
      <c r="G602" s="8">
        <v>2743.65</v>
      </c>
      <c r="H602" s="8">
        <v>370.32</v>
      </c>
      <c r="I602" s="8">
        <v>3113.97</v>
      </c>
      <c r="J602" s="7" t="s">
        <v>14</v>
      </c>
    </row>
    <row r="603" spans="1:10" x14ac:dyDescent="0.3">
      <c r="A603" s="10">
        <v>43469</v>
      </c>
      <c r="B603" t="s">
        <v>44</v>
      </c>
      <c r="C603" s="8">
        <v>0</v>
      </c>
      <c r="D603" s="7">
        <v>0</v>
      </c>
      <c r="E603" s="8">
        <v>-0.01</v>
      </c>
      <c r="F603" s="8">
        <v>0.01</v>
      </c>
      <c r="G603" s="8">
        <v>0</v>
      </c>
      <c r="H603" s="8">
        <v>0</v>
      </c>
      <c r="I603" s="8">
        <v>0</v>
      </c>
    </row>
    <row r="604" spans="1:10" x14ac:dyDescent="0.3">
      <c r="A604" s="10">
        <v>43469</v>
      </c>
      <c r="B604" t="s">
        <v>44</v>
      </c>
      <c r="C604" s="8">
        <v>0</v>
      </c>
      <c r="D604" s="7">
        <v>0</v>
      </c>
      <c r="E604" s="8">
        <v>0</v>
      </c>
      <c r="F604" s="8">
        <v>0</v>
      </c>
      <c r="G604" s="8">
        <v>0</v>
      </c>
      <c r="H604" s="8">
        <v>0</v>
      </c>
      <c r="I604" s="8">
        <v>0</v>
      </c>
    </row>
    <row r="605" spans="1:10" x14ac:dyDescent="0.3">
      <c r="A605" s="10">
        <v>43483</v>
      </c>
      <c r="B605" t="s">
        <v>44</v>
      </c>
      <c r="C605" s="8">
        <v>0</v>
      </c>
      <c r="D605" s="7">
        <v>0</v>
      </c>
      <c r="E605" s="8">
        <v>0</v>
      </c>
      <c r="F605" s="8">
        <v>0</v>
      </c>
      <c r="G605" s="8">
        <v>0</v>
      </c>
      <c r="H605" s="8">
        <v>0</v>
      </c>
      <c r="I605" s="8">
        <v>0</v>
      </c>
    </row>
    <row r="606" spans="1:10" x14ac:dyDescent="0.3">
      <c r="A606" s="10">
        <v>43483</v>
      </c>
      <c r="B606" t="s">
        <v>44</v>
      </c>
      <c r="C606" s="8">
        <v>2095</v>
      </c>
      <c r="D606" s="7">
        <v>80</v>
      </c>
      <c r="E606" s="8">
        <v>268.82</v>
      </c>
      <c r="F606" s="8">
        <v>500</v>
      </c>
      <c r="G606" s="8">
        <v>2863.82</v>
      </c>
      <c r="H606" s="8">
        <v>448.63</v>
      </c>
      <c r="I606" s="8">
        <v>3312.45</v>
      </c>
      <c r="J606" s="7">
        <v>100135</v>
      </c>
    </row>
    <row r="607" spans="1:10" x14ac:dyDescent="0.3">
      <c r="A607" s="10">
        <v>43497</v>
      </c>
      <c r="B607" t="s">
        <v>44</v>
      </c>
      <c r="C607" s="8">
        <v>2980</v>
      </c>
      <c r="D607" s="7">
        <v>80</v>
      </c>
      <c r="E607" s="8">
        <v>948.28</v>
      </c>
      <c r="F607" s="8">
        <v>500</v>
      </c>
      <c r="G607" s="8">
        <v>4428.28</v>
      </c>
      <c r="H607" s="8">
        <v>587.83000000000004</v>
      </c>
      <c r="I607" s="8">
        <v>5016.1099999999997</v>
      </c>
      <c r="J607" s="7">
        <v>100143</v>
      </c>
    </row>
    <row r="608" spans="1:10" x14ac:dyDescent="0.3">
      <c r="A608" s="10">
        <v>43497</v>
      </c>
      <c r="B608" t="s">
        <v>44</v>
      </c>
      <c r="C608" s="8">
        <v>0</v>
      </c>
      <c r="D608" s="7">
        <v>0</v>
      </c>
      <c r="E608" s="8">
        <v>-0.02</v>
      </c>
      <c r="F608" s="8">
        <v>0.02</v>
      </c>
      <c r="G608" s="8">
        <v>0</v>
      </c>
      <c r="H608" s="8">
        <v>0</v>
      </c>
      <c r="I608" s="8">
        <v>0</v>
      </c>
    </row>
    <row r="609" spans="1:10" x14ac:dyDescent="0.3">
      <c r="A609" s="10">
        <v>43511</v>
      </c>
      <c r="B609" t="s">
        <v>44</v>
      </c>
      <c r="C609" s="8">
        <v>2943</v>
      </c>
      <c r="D609" s="7">
        <v>80</v>
      </c>
      <c r="E609" s="8">
        <v>298.68</v>
      </c>
      <c r="F609" s="8">
        <v>0</v>
      </c>
      <c r="G609" s="8">
        <v>3241.68</v>
      </c>
      <c r="H609" s="8">
        <v>467.2</v>
      </c>
      <c r="I609" s="8">
        <v>3708.88</v>
      </c>
      <c r="J609" s="7" t="s">
        <v>14</v>
      </c>
    </row>
    <row r="610" spans="1:10" x14ac:dyDescent="0.3">
      <c r="A610" s="10">
        <v>43511</v>
      </c>
      <c r="B610" t="s">
        <v>44</v>
      </c>
      <c r="C610" s="8">
        <v>0</v>
      </c>
      <c r="D610" s="7">
        <v>0</v>
      </c>
      <c r="E610" s="8">
        <v>-0.01</v>
      </c>
      <c r="F610" s="8">
        <v>0.01</v>
      </c>
      <c r="G610" s="8">
        <v>0</v>
      </c>
      <c r="H610" s="8">
        <v>0</v>
      </c>
      <c r="I610" s="8">
        <v>0</v>
      </c>
    </row>
    <row r="611" spans="1:10" x14ac:dyDescent="0.3">
      <c r="A611" s="10">
        <v>43525</v>
      </c>
      <c r="B611" t="s">
        <v>44</v>
      </c>
      <c r="C611" s="8">
        <v>0</v>
      </c>
      <c r="D611" s="7">
        <v>0</v>
      </c>
      <c r="E611" s="8">
        <v>-0.01</v>
      </c>
      <c r="F611" s="8">
        <v>0.01</v>
      </c>
      <c r="G611" s="8">
        <v>0</v>
      </c>
      <c r="H611" s="8">
        <v>0</v>
      </c>
      <c r="I611" s="8">
        <v>0</v>
      </c>
    </row>
    <row r="612" spans="1:10" x14ac:dyDescent="0.3">
      <c r="A612" s="10">
        <v>43525</v>
      </c>
      <c r="B612" t="s">
        <v>44</v>
      </c>
      <c r="C612" s="8">
        <v>3088</v>
      </c>
      <c r="D612" s="7">
        <v>80</v>
      </c>
      <c r="E612" s="8">
        <v>354.04</v>
      </c>
      <c r="F612" s="8">
        <v>500</v>
      </c>
      <c r="G612" s="8">
        <v>3942.04</v>
      </c>
      <c r="H612" s="8">
        <v>533.46</v>
      </c>
      <c r="I612" s="8">
        <v>4475.5</v>
      </c>
      <c r="J612" s="7">
        <v>100163</v>
      </c>
    </row>
    <row r="613" spans="1:10" x14ac:dyDescent="0.3">
      <c r="A613" s="10">
        <v>43539</v>
      </c>
      <c r="B613" t="s">
        <v>44</v>
      </c>
      <c r="C613" s="8">
        <v>0</v>
      </c>
      <c r="D613" s="7">
        <v>0</v>
      </c>
      <c r="E613" s="8">
        <v>-0.01</v>
      </c>
      <c r="F613" s="8">
        <v>0.01</v>
      </c>
      <c r="G613" s="8">
        <v>0</v>
      </c>
      <c r="H613" s="8">
        <v>0</v>
      </c>
      <c r="I613" s="8">
        <v>0</v>
      </c>
    </row>
    <row r="614" spans="1:10" x14ac:dyDescent="0.3">
      <c r="A614" s="10">
        <v>43539</v>
      </c>
      <c r="B614" t="s">
        <v>44</v>
      </c>
      <c r="C614" s="8">
        <v>3074</v>
      </c>
      <c r="D614" s="7">
        <v>80</v>
      </c>
      <c r="E614" s="8">
        <v>775.06</v>
      </c>
      <c r="F614" s="8">
        <v>0</v>
      </c>
      <c r="G614" s="8">
        <v>3849.06</v>
      </c>
      <c r="H614" s="8">
        <v>524.66</v>
      </c>
      <c r="I614" s="8">
        <v>4373.72</v>
      </c>
      <c r="J614" s="7" t="s">
        <v>14</v>
      </c>
    </row>
    <row r="615" spans="1:10" x14ac:dyDescent="0.3">
      <c r="A615" s="10">
        <v>43553</v>
      </c>
      <c r="B615" t="s">
        <v>44</v>
      </c>
      <c r="C615" s="8">
        <v>0</v>
      </c>
      <c r="D615" s="7">
        <v>0</v>
      </c>
      <c r="E615" s="8">
        <v>-0.01</v>
      </c>
      <c r="F615" s="8">
        <v>0.01</v>
      </c>
      <c r="G615" s="8">
        <v>0</v>
      </c>
      <c r="H615" s="8">
        <v>0</v>
      </c>
      <c r="I615" s="8">
        <v>0</v>
      </c>
    </row>
    <row r="616" spans="1:10" x14ac:dyDescent="0.3">
      <c r="A616" s="10">
        <v>43553</v>
      </c>
      <c r="B616" t="s">
        <v>44</v>
      </c>
      <c r="C616" s="8">
        <v>3080</v>
      </c>
      <c r="D616" s="7">
        <v>80</v>
      </c>
      <c r="E616" s="8">
        <v>777.63</v>
      </c>
      <c r="F616" s="8">
        <v>0</v>
      </c>
      <c r="G616" s="8">
        <v>3857.63</v>
      </c>
      <c r="H616" s="8">
        <v>525.47</v>
      </c>
      <c r="I616" s="8">
        <v>4383.1000000000004</v>
      </c>
      <c r="J616" s="7" t="s">
        <v>14</v>
      </c>
    </row>
    <row r="617" spans="1:10" x14ac:dyDescent="0.3">
      <c r="A617" s="10">
        <v>43553</v>
      </c>
      <c r="B617" t="s">
        <v>44</v>
      </c>
      <c r="C617" s="8">
        <v>0</v>
      </c>
      <c r="D617" s="7">
        <v>0</v>
      </c>
      <c r="E617" s="8">
        <v>0</v>
      </c>
      <c r="F617" s="8">
        <v>0</v>
      </c>
      <c r="G617" s="8">
        <v>0</v>
      </c>
      <c r="H617" s="8">
        <v>-42.38</v>
      </c>
      <c r="I617" s="8">
        <v>-42.38</v>
      </c>
    </row>
    <row r="618" spans="1:10" x14ac:dyDescent="0.3">
      <c r="A618" s="10">
        <v>43567</v>
      </c>
      <c r="B618" t="s">
        <v>44</v>
      </c>
      <c r="C618" s="8">
        <v>0</v>
      </c>
      <c r="D618" s="7">
        <v>0</v>
      </c>
      <c r="E618" s="8">
        <v>-0.01</v>
      </c>
      <c r="F618" s="8">
        <v>0.01</v>
      </c>
      <c r="G618" s="8">
        <v>0</v>
      </c>
      <c r="H618" s="8">
        <v>0</v>
      </c>
      <c r="I618" s="8">
        <v>0</v>
      </c>
    </row>
    <row r="619" spans="1:10" x14ac:dyDescent="0.3">
      <c r="A619" s="10">
        <v>43567</v>
      </c>
      <c r="B619" t="s">
        <v>44</v>
      </c>
      <c r="C619" s="8">
        <v>3088</v>
      </c>
      <c r="D619" s="7">
        <v>80</v>
      </c>
      <c r="E619" s="8">
        <v>781.03</v>
      </c>
      <c r="F619" s="8">
        <v>0</v>
      </c>
      <c r="G619" s="8">
        <v>3869.03</v>
      </c>
      <c r="H619" s="8">
        <v>526.54999999999995</v>
      </c>
      <c r="I619" s="8">
        <v>4395.58</v>
      </c>
      <c r="J619" s="7" t="s">
        <v>14</v>
      </c>
    </row>
    <row r="620" spans="1:10" x14ac:dyDescent="0.3">
      <c r="A620" s="10">
        <v>43567</v>
      </c>
      <c r="B620" t="s">
        <v>44</v>
      </c>
      <c r="C620" s="8">
        <v>0</v>
      </c>
      <c r="D620" s="7">
        <v>0</v>
      </c>
      <c r="E620" s="8">
        <v>0</v>
      </c>
      <c r="F620" s="8">
        <v>0</v>
      </c>
      <c r="G620" s="8">
        <v>0</v>
      </c>
      <c r="H620" s="8">
        <v>-6.58</v>
      </c>
      <c r="I620" s="8">
        <v>-6.58</v>
      </c>
    </row>
    <row r="621" spans="1:10" x14ac:dyDescent="0.3">
      <c r="A621" s="10">
        <v>43581</v>
      </c>
      <c r="B621" t="s">
        <v>44</v>
      </c>
      <c r="C621" s="8">
        <v>2184</v>
      </c>
      <c r="D621" s="7">
        <v>80</v>
      </c>
      <c r="E621" s="8">
        <v>618.45000000000005</v>
      </c>
      <c r="F621" s="8">
        <v>440</v>
      </c>
      <c r="G621" s="8">
        <v>3242.45</v>
      </c>
      <c r="H621" s="8">
        <v>461.77</v>
      </c>
      <c r="I621" s="8">
        <v>3704.22</v>
      </c>
      <c r="J621" s="7" t="s">
        <v>14</v>
      </c>
    </row>
    <row r="622" spans="1:10" x14ac:dyDescent="0.3">
      <c r="A622" s="10">
        <v>43595</v>
      </c>
      <c r="B622" t="s">
        <v>44</v>
      </c>
      <c r="C622" s="8">
        <v>2508</v>
      </c>
      <c r="D622" s="7">
        <v>80</v>
      </c>
      <c r="E622" s="8">
        <v>589.63</v>
      </c>
      <c r="F622" s="8">
        <v>0</v>
      </c>
      <c r="G622" s="8">
        <v>3097.63</v>
      </c>
      <c r="H622" s="8">
        <v>448.31</v>
      </c>
      <c r="I622" s="8">
        <v>3545.94</v>
      </c>
      <c r="J622" s="7" t="s">
        <v>14</v>
      </c>
    </row>
    <row r="623" spans="1:10" x14ac:dyDescent="0.3">
      <c r="A623" s="10">
        <v>43609</v>
      </c>
      <c r="B623" t="s">
        <v>44</v>
      </c>
      <c r="C623" s="8">
        <v>2054</v>
      </c>
      <c r="D623" s="7">
        <v>80</v>
      </c>
      <c r="E623" s="8">
        <v>586.14</v>
      </c>
      <c r="F623" s="8">
        <v>440</v>
      </c>
      <c r="G623" s="8">
        <v>3080.14</v>
      </c>
      <c r="H623" s="8">
        <v>446.69</v>
      </c>
      <c r="I623" s="8">
        <v>3526.83</v>
      </c>
      <c r="J623" s="7" t="s">
        <v>14</v>
      </c>
    </row>
    <row r="624" spans="1:10" x14ac:dyDescent="0.3">
      <c r="A624" s="10">
        <v>43623</v>
      </c>
      <c r="B624" t="s">
        <v>44</v>
      </c>
      <c r="C624" s="8">
        <v>2581</v>
      </c>
      <c r="D624" s="7">
        <v>80</v>
      </c>
      <c r="E624" s="8">
        <v>607.77</v>
      </c>
      <c r="F624" s="8">
        <v>0</v>
      </c>
      <c r="G624" s="8">
        <v>3188.77</v>
      </c>
      <c r="H624" s="8">
        <v>456.77</v>
      </c>
      <c r="I624" s="8">
        <v>3645.54</v>
      </c>
      <c r="J624" s="7" t="s">
        <v>14</v>
      </c>
    </row>
    <row r="625" spans="1:10" x14ac:dyDescent="0.3">
      <c r="A625" s="10">
        <v>43637</v>
      </c>
      <c r="B625" t="s">
        <v>44</v>
      </c>
      <c r="C625" s="8">
        <v>3411</v>
      </c>
      <c r="D625" s="7">
        <v>80</v>
      </c>
      <c r="E625" s="8">
        <v>734.69</v>
      </c>
      <c r="F625" s="8">
        <v>460</v>
      </c>
      <c r="G625" s="8">
        <v>4605.6899999999996</v>
      </c>
      <c r="H625" s="8">
        <v>588.41</v>
      </c>
      <c r="I625" s="8">
        <v>5194.1000000000004</v>
      </c>
      <c r="J625" s="7" t="s">
        <v>14</v>
      </c>
    </row>
    <row r="626" spans="1:10" x14ac:dyDescent="0.3">
      <c r="A626" s="10">
        <v>43651</v>
      </c>
      <c r="B626" t="s">
        <v>44</v>
      </c>
      <c r="C626" s="8">
        <v>2116</v>
      </c>
      <c r="D626" s="7">
        <v>74</v>
      </c>
      <c r="E626" s="8">
        <v>226.84</v>
      </c>
      <c r="F626" s="8">
        <v>30</v>
      </c>
      <c r="G626" s="8">
        <v>2372.84</v>
      </c>
      <c r="H626" s="8">
        <v>368.94</v>
      </c>
      <c r="I626" s="8">
        <v>2741.78</v>
      </c>
      <c r="J626" s="7" t="s">
        <v>14</v>
      </c>
    </row>
    <row r="627" spans="1:10" x14ac:dyDescent="0.3">
      <c r="A627" s="10">
        <v>43665</v>
      </c>
      <c r="B627" t="s">
        <v>44</v>
      </c>
      <c r="C627" s="8">
        <v>1921</v>
      </c>
      <c r="D627" s="7">
        <v>68</v>
      </c>
      <c r="E627" s="8">
        <v>264.38</v>
      </c>
      <c r="F627" s="8">
        <v>65</v>
      </c>
      <c r="G627" s="8">
        <v>2250.38</v>
      </c>
      <c r="H627" s="8">
        <v>331.85</v>
      </c>
      <c r="I627" s="8">
        <v>2582.23</v>
      </c>
      <c r="J627" s="7" t="s">
        <v>14</v>
      </c>
    </row>
    <row r="628" spans="1:10" x14ac:dyDescent="0.3">
      <c r="A628" s="10">
        <v>43679</v>
      </c>
      <c r="B628" t="s">
        <v>44</v>
      </c>
      <c r="C628" s="8">
        <v>2584</v>
      </c>
      <c r="D628" s="7">
        <v>80</v>
      </c>
      <c r="E628" s="8">
        <v>536.64</v>
      </c>
      <c r="F628" s="8">
        <v>489.92</v>
      </c>
      <c r="G628" s="8">
        <v>3610.56</v>
      </c>
      <c r="H628" s="8">
        <v>436.75</v>
      </c>
      <c r="I628" s="8">
        <v>4047.31</v>
      </c>
      <c r="J628" s="7" t="s">
        <v>14</v>
      </c>
    </row>
    <row r="629" spans="1:10" x14ac:dyDescent="0.3">
      <c r="A629" s="10">
        <v>43693</v>
      </c>
      <c r="B629" t="s">
        <v>44</v>
      </c>
      <c r="C629" s="8">
        <v>2748</v>
      </c>
      <c r="D629" s="7">
        <v>80</v>
      </c>
      <c r="E629" s="8">
        <v>468.07</v>
      </c>
      <c r="F629" s="8">
        <v>50</v>
      </c>
      <c r="G629" s="8">
        <v>3266.07</v>
      </c>
      <c r="H629" s="8">
        <v>410.39</v>
      </c>
      <c r="I629" s="8">
        <v>3676.46</v>
      </c>
      <c r="J629" s="7" t="s">
        <v>14</v>
      </c>
    </row>
    <row r="630" spans="1:10" x14ac:dyDescent="0.3">
      <c r="A630" s="10">
        <v>43707</v>
      </c>
      <c r="B630" t="s">
        <v>44</v>
      </c>
      <c r="C630" s="8">
        <v>2961</v>
      </c>
      <c r="D630" s="7">
        <v>80</v>
      </c>
      <c r="E630" s="8">
        <v>630.35</v>
      </c>
      <c r="F630" s="8">
        <v>490</v>
      </c>
      <c r="G630" s="8">
        <v>4081.35</v>
      </c>
      <c r="H630" s="8">
        <v>472.77</v>
      </c>
      <c r="I630" s="8">
        <v>4554.12</v>
      </c>
      <c r="J630" s="7" t="s">
        <v>14</v>
      </c>
    </row>
    <row r="631" spans="1:10" x14ac:dyDescent="0.3">
      <c r="A631" s="10">
        <v>43721</v>
      </c>
      <c r="B631" t="s">
        <v>44</v>
      </c>
      <c r="C631" s="8">
        <v>2726</v>
      </c>
      <c r="D631" s="7">
        <v>80</v>
      </c>
      <c r="E631" s="8">
        <v>450.19</v>
      </c>
      <c r="F631" s="8">
        <v>0</v>
      </c>
      <c r="G631" s="8">
        <v>3176.19</v>
      </c>
      <c r="H631" s="8">
        <v>403.52</v>
      </c>
      <c r="I631" s="8">
        <v>3579.71</v>
      </c>
      <c r="J631" s="7" t="s">
        <v>14</v>
      </c>
    </row>
    <row r="632" spans="1:10" x14ac:dyDescent="0.3">
      <c r="A632" s="10">
        <v>43735</v>
      </c>
      <c r="B632" t="s">
        <v>44</v>
      </c>
      <c r="C632" s="8">
        <v>2982</v>
      </c>
      <c r="D632" s="7">
        <v>80</v>
      </c>
      <c r="E632" s="8">
        <v>623.12</v>
      </c>
      <c r="F632" s="8">
        <v>440</v>
      </c>
      <c r="G632" s="8">
        <v>4045.12</v>
      </c>
      <c r="H632" s="8">
        <v>469.99</v>
      </c>
      <c r="I632" s="8">
        <v>4515.1099999999997</v>
      </c>
      <c r="J632" s="7" t="s">
        <v>14</v>
      </c>
    </row>
    <row r="633" spans="1:10" x14ac:dyDescent="0.3">
      <c r="A633" s="10">
        <v>43749</v>
      </c>
      <c r="B633" t="s">
        <v>44</v>
      </c>
      <c r="C633" s="8">
        <v>3409</v>
      </c>
      <c r="D633" s="7">
        <v>80</v>
      </c>
      <c r="E633" s="8">
        <v>644.75</v>
      </c>
      <c r="F633" s="8">
        <v>100</v>
      </c>
      <c r="G633" s="8">
        <v>4153.75</v>
      </c>
      <c r="H633" s="8">
        <v>478.3</v>
      </c>
      <c r="I633" s="8">
        <v>4632.05</v>
      </c>
      <c r="J633" s="7" t="s">
        <v>14</v>
      </c>
    </row>
    <row r="634" spans="1:10" x14ac:dyDescent="0.3">
      <c r="A634" s="10">
        <v>43763</v>
      </c>
      <c r="B634" t="s">
        <v>44</v>
      </c>
      <c r="C634" s="8">
        <v>2715</v>
      </c>
      <c r="D634" s="7">
        <v>80</v>
      </c>
      <c r="E634" s="8">
        <v>457.4</v>
      </c>
      <c r="F634" s="8">
        <v>40</v>
      </c>
      <c r="G634" s="8">
        <v>3212.4</v>
      </c>
      <c r="H634" s="8">
        <v>406.29</v>
      </c>
      <c r="I634" s="8">
        <v>3618.69</v>
      </c>
      <c r="J634" s="7" t="s">
        <v>14</v>
      </c>
    </row>
    <row r="635" spans="1:10" x14ac:dyDescent="0.3">
      <c r="A635" s="10">
        <v>43777</v>
      </c>
      <c r="B635" t="s">
        <v>44</v>
      </c>
      <c r="C635" s="8">
        <v>2262</v>
      </c>
      <c r="D635" s="7">
        <v>80</v>
      </c>
      <c r="E635" s="8">
        <v>334.87</v>
      </c>
      <c r="F635" s="8">
        <v>0</v>
      </c>
      <c r="G635" s="8">
        <v>2596.87</v>
      </c>
      <c r="H635" s="8">
        <v>359.19</v>
      </c>
      <c r="I635" s="8">
        <v>2956.06</v>
      </c>
      <c r="J635" s="7" t="s">
        <v>14</v>
      </c>
    </row>
    <row r="636" spans="1:10" x14ac:dyDescent="0.3">
      <c r="A636" s="10">
        <v>43805</v>
      </c>
      <c r="B636" t="s">
        <v>44</v>
      </c>
      <c r="C636" s="8">
        <v>158</v>
      </c>
      <c r="D636" s="7">
        <v>0</v>
      </c>
      <c r="E636" s="8">
        <v>0</v>
      </c>
      <c r="F636" s="8">
        <v>0</v>
      </c>
      <c r="G636" s="8">
        <v>158</v>
      </c>
      <c r="H636" s="8">
        <v>0</v>
      </c>
      <c r="I636" s="8">
        <v>158</v>
      </c>
      <c r="J636" s="7" t="s">
        <v>14</v>
      </c>
    </row>
    <row r="637" spans="1:10" x14ac:dyDescent="0.3">
      <c r="A637" s="21" t="s">
        <v>15</v>
      </c>
      <c r="B637" s="22" t="str">
        <f>+B636</f>
        <v>*Ruben Gonzalez</v>
      </c>
      <c r="C637" s="23">
        <f>SUM(C599:C636)</f>
        <v>69780</v>
      </c>
      <c r="D637" s="23">
        <f t="shared" ref="D637:I637" si="28">SUM(D599:D636)</f>
        <v>2019</v>
      </c>
      <c r="E637" s="23">
        <f t="shared" si="28"/>
        <v>13954.32</v>
      </c>
      <c r="F637" s="23">
        <f t="shared" si="28"/>
        <v>4545</v>
      </c>
      <c r="G637" s="23">
        <f t="shared" si="28"/>
        <v>88279.319999999978</v>
      </c>
      <c r="H637" s="23">
        <f t="shared" si="28"/>
        <v>11862.77</v>
      </c>
      <c r="I637" s="23">
        <f t="shared" si="28"/>
        <v>100142.09000000001</v>
      </c>
      <c r="J637" s="24"/>
    </row>
    <row r="638" spans="1:10" x14ac:dyDescent="0.3">
      <c r="A638" s="10">
        <v>43217</v>
      </c>
      <c r="B638" t="s">
        <v>45</v>
      </c>
      <c r="C638" s="8">
        <v>781.23</v>
      </c>
      <c r="D638" s="7">
        <v>80</v>
      </c>
      <c r="E638" s="8">
        <v>218.77</v>
      </c>
      <c r="F638" s="8">
        <v>0</v>
      </c>
      <c r="G638" s="8">
        <v>1000</v>
      </c>
      <c r="H638" s="8">
        <v>421.67</v>
      </c>
      <c r="I638" s="8">
        <v>1421.67</v>
      </c>
      <c r="J638" s="7" t="s">
        <v>14</v>
      </c>
    </row>
    <row r="639" spans="1:10" x14ac:dyDescent="0.3">
      <c r="A639" s="10">
        <v>43231</v>
      </c>
      <c r="B639" t="s">
        <v>45</v>
      </c>
      <c r="C639" s="8">
        <v>781.23</v>
      </c>
      <c r="D639" s="7">
        <v>80</v>
      </c>
      <c r="E639" s="8">
        <v>218.77</v>
      </c>
      <c r="F639" s="8">
        <v>0</v>
      </c>
      <c r="G639" s="8">
        <v>1000</v>
      </c>
      <c r="H639" s="8">
        <v>421.67</v>
      </c>
      <c r="I639" s="8">
        <v>1421.67</v>
      </c>
      <c r="J639" s="7" t="s">
        <v>14</v>
      </c>
    </row>
    <row r="640" spans="1:10" x14ac:dyDescent="0.3">
      <c r="A640" s="10">
        <v>43245</v>
      </c>
      <c r="B640" t="s">
        <v>45</v>
      </c>
      <c r="C640" s="8">
        <v>866.21</v>
      </c>
      <c r="D640" s="7">
        <v>80</v>
      </c>
      <c r="E640" s="8">
        <v>133.79</v>
      </c>
      <c r="F640" s="8">
        <v>0</v>
      </c>
      <c r="G640" s="8">
        <v>1000</v>
      </c>
      <c r="H640" s="8">
        <v>100.6</v>
      </c>
      <c r="I640" s="8">
        <v>1100.5999999999999</v>
      </c>
      <c r="J640" s="7" t="s">
        <v>14</v>
      </c>
    </row>
    <row r="641" spans="1:10" x14ac:dyDescent="0.3">
      <c r="A641" s="10">
        <v>43258</v>
      </c>
      <c r="B641" t="s">
        <v>45</v>
      </c>
      <c r="C641" s="8">
        <v>781.23</v>
      </c>
      <c r="D641" s="7">
        <v>80</v>
      </c>
      <c r="E641" s="8">
        <v>218.77</v>
      </c>
      <c r="F641" s="8">
        <v>0</v>
      </c>
      <c r="G641" s="8">
        <v>1000</v>
      </c>
      <c r="H641" s="8">
        <v>421.67</v>
      </c>
      <c r="I641" s="8">
        <v>1421.67</v>
      </c>
      <c r="J641" s="7" t="s">
        <v>14</v>
      </c>
    </row>
    <row r="642" spans="1:10" x14ac:dyDescent="0.3">
      <c r="A642" s="10">
        <v>43258</v>
      </c>
      <c r="B642" t="s">
        <v>45</v>
      </c>
      <c r="C642" s="8">
        <v>0</v>
      </c>
      <c r="D642" s="7">
        <v>0</v>
      </c>
      <c r="E642" s="8">
        <v>0</v>
      </c>
      <c r="F642" s="8">
        <v>0</v>
      </c>
      <c r="G642" s="8">
        <v>0</v>
      </c>
      <c r="H642" s="8">
        <v>-1218.1500000000001</v>
      </c>
      <c r="I642" s="8">
        <v>-1218.1500000000001</v>
      </c>
    </row>
    <row r="643" spans="1:10" x14ac:dyDescent="0.3">
      <c r="A643" s="10">
        <v>43273</v>
      </c>
      <c r="B643" t="s">
        <v>45</v>
      </c>
      <c r="C643" s="8">
        <v>866.21</v>
      </c>
      <c r="D643" s="7">
        <v>80</v>
      </c>
      <c r="E643" s="8">
        <v>133.79</v>
      </c>
      <c r="F643" s="8">
        <v>0</v>
      </c>
      <c r="G643" s="8">
        <v>1000</v>
      </c>
      <c r="H643" s="8">
        <v>100.6</v>
      </c>
      <c r="I643" s="8">
        <v>1100.5999999999999</v>
      </c>
      <c r="J643" s="7" t="s">
        <v>14</v>
      </c>
    </row>
    <row r="644" spans="1:10" x14ac:dyDescent="0.3">
      <c r="A644" s="10">
        <v>43287</v>
      </c>
      <c r="B644" t="s">
        <v>45</v>
      </c>
      <c r="C644" s="8">
        <v>866.21</v>
      </c>
      <c r="D644" s="7">
        <v>80</v>
      </c>
      <c r="E644" s="8">
        <v>133.79</v>
      </c>
      <c r="F644" s="8">
        <v>0</v>
      </c>
      <c r="G644" s="8">
        <v>1000</v>
      </c>
      <c r="H644" s="8">
        <v>100.6</v>
      </c>
      <c r="I644" s="8">
        <v>1100.5999999999999</v>
      </c>
      <c r="J644" s="7" t="s">
        <v>14</v>
      </c>
    </row>
    <row r="645" spans="1:10" x14ac:dyDescent="0.3">
      <c r="A645" s="10">
        <v>43301</v>
      </c>
      <c r="B645" t="s">
        <v>45</v>
      </c>
      <c r="C645" s="8">
        <v>866.21</v>
      </c>
      <c r="D645" s="7">
        <v>80</v>
      </c>
      <c r="E645" s="8">
        <v>133.79</v>
      </c>
      <c r="F645" s="8">
        <v>0</v>
      </c>
      <c r="G645" s="8">
        <v>1000</v>
      </c>
      <c r="H645" s="8">
        <v>100.6</v>
      </c>
      <c r="I645" s="8">
        <v>1100.5999999999999</v>
      </c>
      <c r="J645" s="7" t="s">
        <v>14</v>
      </c>
    </row>
    <row r="646" spans="1:10" x14ac:dyDescent="0.3">
      <c r="A646" s="10">
        <v>43315</v>
      </c>
      <c r="B646" t="s">
        <v>45</v>
      </c>
      <c r="C646" s="8">
        <v>866.21</v>
      </c>
      <c r="D646" s="7">
        <v>80</v>
      </c>
      <c r="E646" s="8">
        <v>133.79</v>
      </c>
      <c r="F646" s="8">
        <v>0</v>
      </c>
      <c r="G646" s="8">
        <v>1000</v>
      </c>
      <c r="H646" s="8">
        <v>94.6</v>
      </c>
      <c r="I646" s="8">
        <v>1094.5999999999999</v>
      </c>
      <c r="J646" s="7" t="s">
        <v>14</v>
      </c>
    </row>
    <row r="647" spans="1:10" x14ac:dyDescent="0.3">
      <c r="A647" s="10">
        <v>43329</v>
      </c>
      <c r="B647" t="s">
        <v>45</v>
      </c>
      <c r="C647" s="8">
        <v>866.21</v>
      </c>
      <c r="D647" s="7">
        <v>80</v>
      </c>
      <c r="E647" s="8">
        <v>133.79</v>
      </c>
      <c r="F647" s="8">
        <v>0</v>
      </c>
      <c r="G647" s="8">
        <v>1000</v>
      </c>
      <c r="H647" s="8">
        <v>94.6</v>
      </c>
      <c r="I647" s="8">
        <v>1094.5999999999999</v>
      </c>
      <c r="J647" s="7" t="s">
        <v>14</v>
      </c>
    </row>
    <row r="648" spans="1:10" x14ac:dyDescent="0.3">
      <c r="A648" s="10">
        <v>43343</v>
      </c>
      <c r="B648" t="s">
        <v>45</v>
      </c>
      <c r="C648" s="8">
        <v>866.21</v>
      </c>
      <c r="D648" s="7">
        <v>80</v>
      </c>
      <c r="E648" s="8">
        <v>133.79</v>
      </c>
      <c r="F648" s="8">
        <v>0</v>
      </c>
      <c r="G648" s="8">
        <v>1000</v>
      </c>
      <c r="H648" s="8">
        <v>94.6</v>
      </c>
      <c r="I648" s="8">
        <v>1094.5999999999999</v>
      </c>
      <c r="J648" s="7" t="s">
        <v>14</v>
      </c>
    </row>
    <row r="649" spans="1:10" x14ac:dyDescent="0.3">
      <c r="A649" s="10">
        <v>43357</v>
      </c>
      <c r="B649" t="s">
        <v>45</v>
      </c>
      <c r="C649" s="8">
        <v>866.21</v>
      </c>
      <c r="D649" s="7">
        <v>80</v>
      </c>
      <c r="E649" s="8">
        <v>133.79</v>
      </c>
      <c r="F649" s="8">
        <v>0</v>
      </c>
      <c r="G649" s="8">
        <v>1000</v>
      </c>
      <c r="H649" s="8">
        <v>94.6</v>
      </c>
      <c r="I649" s="8">
        <v>1094.5999999999999</v>
      </c>
      <c r="J649" s="7" t="s">
        <v>14</v>
      </c>
    </row>
    <row r="650" spans="1:10" x14ac:dyDescent="0.3">
      <c r="A650" s="10">
        <v>43371</v>
      </c>
      <c r="B650" t="s">
        <v>45</v>
      </c>
      <c r="C650" s="8">
        <v>866.21</v>
      </c>
      <c r="D650" s="7">
        <v>80</v>
      </c>
      <c r="E650" s="8">
        <v>133.79</v>
      </c>
      <c r="F650" s="8">
        <v>0</v>
      </c>
      <c r="G650" s="8">
        <v>1000</v>
      </c>
      <c r="H650" s="8">
        <v>94.6</v>
      </c>
      <c r="I650" s="8">
        <v>1094.5999999999999</v>
      </c>
      <c r="J650" s="7" t="s">
        <v>14</v>
      </c>
    </row>
    <row r="651" spans="1:10" x14ac:dyDescent="0.3">
      <c r="A651" s="10">
        <v>43385</v>
      </c>
      <c r="B651" t="s">
        <v>45</v>
      </c>
      <c r="C651" s="8">
        <v>866.21</v>
      </c>
      <c r="D651" s="7">
        <v>80</v>
      </c>
      <c r="E651" s="8">
        <v>133.79</v>
      </c>
      <c r="F651" s="8">
        <v>0</v>
      </c>
      <c r="G651" s="8">
        <v>1000</v>
      </c>
      <c r="H651" s="8">
        <v>94.6</v>
      </c>
      <c r="I651" s="8">
        <v>1094.5999999999999</v>
      </c>
      <c r="J651" s="7" t="s">
        <v>14</v>
      </c>
    </row>
    <row r="652" spans="1:10" x14ac:dyDescent="0.3">
      <c r="A652" s="10">
        <v>43399</v>
      </c>
      <c r="B652" t="s">
        <v>45</v>
      </c>
      <c r="C652" s="8">
        <v>866.21</v>
      </c>
      <c r="D652" s="7">
        <v>80</v>
      </c>
      <c r="E652" s="8">
        <v>133.79</v>
      </c>
      <c r="F652" s="8">
        <v>0</v>
      </c>
      <c r="G652" s="8">
        <v>1000</v>
      </c>
      <c r="H652" s="8">
        <v>94.6</v>
      </c>
      <c r="I652" s="8">
        <v>1094.5999999999999</v>
      </c>
      <c r="J652" s="7" t="s">
        <v>14</v>
      </c>
    </row>
    <row r="653" spans="1:10" x14ac:dyDescent="0.3">
      <c r="A653" s="10">
        <v>43413</v>
      </c>
      <c r="B653" t="s">
        <v>45</v>
      </c>
      <c r="C653" s="8">
        <v>866.21</v>
      </c>
      <c r="D653" s="7">
        <v>80</v>
      </c>
      <c r="E653" s="8">
        <v>133.79</v>
      </c>
      <c r="F653" s="8">
        <v>0</v>
      </c>
      <c r="G653" s="8">
        <v>1000</v>
      </c>
      <c r="H653" s="8">
        <v>454.5</v>
      </c>
      <c r="I653" s="8">
        <v>1454.5</v>
      </c>
      <c r="J653" s="7" t="s">
        <v>14</v>
      </c>
    </row>
    <row r="654" spans="1:10" x14ac:dyDescent="0.3">
      <c r="A654" s="10">
        <v>43427</v>
      </c>
      <c r="B654" t="s">
        <v>45</v>
      </c>
      <c r="C654" s="8">
        <v>866.21</v>
      </c>
      <c r="D654" s="7">
        <v>80</v>
      </c>
      <c r="E654" s="8">
        <v>133.79</v>
      </c>
      <c r="F654" s="8">
        <v>0</v>
      </c>
      <c r="G654" s="8">
        <v>1000</v>
      </c>
      <c r="H654" s="8">
        <v>76.5</v>
      </c>
      <c r="I654" s="8">
        <v>1076.5</v>
      </c>
      <c r="J654" s="7" t="s">
        <v>14</v>
      </c>
    </row>
    <row r="655" spans="1:10" x14ac:dyDescent="0.3">
      <c r="A655" s="10">
        <v>43441</v>
      </c>
      <c r="B655" t="s">
        <v>45</v>
      </c>
      <c r="C655" s="8">
        <v>866.21</v>
      </c>
      <c r="D655" s="7">
        <v>80</v>
      </c>
      <c r="E655" s="8">
        <v>133.79</v>
      </c>
      <c r="F655" s="8">
        <v>0</v>
      </c>
      <c r="G655" s="8">
        <v>1000</v>
      </c>
      <c r="H655" s="8">
        <v>76.5</v>
      </c>
      <c r="I655" s="8">
        <v>1076.5</v>
      </c>
      <c r="J655" s="7" t="s">
        <v>14</v>
      </c>
    </row>
    <row r="656" spans="1:10" x14ac:dyDescent="0.3">
      <c r="A656" s="10">
        <v>43455</v>
      </c>
      <c r="B656" t="s">
        <v>45</v>
      </c>
      <c r="C656" s="8">
        <v>866.21</v>
      </c>
      <c r="D656" s="7">
        <v>80</v>
      </c>
      <c r="E656" s="8">
        <v>133.79</v>
      </c>
      <c r="F656" s="8">
        <v>0</v>
      </c>
      <c r="G656" s="8">
        <v>1000</v>
      </c>
      <c r="H656" s="8">
        <v>76.5</v>
      </c>
      <c r="I656" s="8">
        <v>1076.5</v>
      </c>
      <c r="J656" s="7" t="s">
        <v>14</v>
      </c>
    </row>
    <row r="657" spans="1:10" x14ac:dyDescent="0.3">
      <c r="A657" s="10">
        <v>43469</v>
      </c>
      <c r="B657" t="s">
        <v>45</v>
      </c>
      <c r="C657" s="8">
        <v>0</v>
      </c>
      <c r="D657" s="7">
        <v>0</v>
      </c>
      <c r="E657" s="8">
        <v>0</v>
      </c>
      <c r="F657" s="8">
        <v>0</v>
      </c>
      <c r="G657" s="8">
        <v>0</v>
      </c>
      <c r="H657" s="8">
        <v>0</v>
      </c>
      <c r="I657" s="8">
        <v>0</v>
      </c>
    </row>
    <row r="658" spans="1:10" x14ac:dyDescent="0.3">
      <c r="A658" s="10">
        <v>43469</v>
      </c>
      <c r="B658" t="s">
        <v>45</v>
      </c>
      <c r="C658" s="8">
        <v>864.74</v>
      </c>
      <c r="D658" s="7">
        <v>80</v>
      </c>
      <c r="E658" s="8">
        <v>135.26</v>
      </c>
      <c r="F658" s="8">
        <v>0</v>
      </c>
      <c r="G658" s="8">
        <v>1000</v>
      </c>
      <c r="H658" s="8">
        <v>136.5</v>
      </c>
      <c r="I658" s="8">
        <v>1136.5</v>
      </c>
      <c r="J658" s="7" t="s">
        <v>14</v>
      </c>
    </row>
    <row r="659" spans="1:10" x14ac:dyDescent="0.3">
      <c r="A659" s="10">
        <v>43483</v>
      </c>
      <c r="B659" t="s">
        <v>45</v>
      </c>
      <c r="C659" s="8">
        <v>0</v>
      </c>
      <c r="D659" s="7">
        <v>0</v>
      </c>
      <c r="E659" s="8">
        <v>0</v>
      </c>
      <c r="F659" s="8">
        <v>0</v>
      </c>
      <c r="G659" s="8">
        <v>0</v>
      </c>
      <c r="H659" s="8">
        <v>0</v>
      </c>
      <c r="I659" s="8">
        <v>0</v>
      </c>
    </row>
    <row r="660" spans="1:10" x14ac:dyDescent="0.3">
      <c r="A660" s="10">
        <v>43483</v>
      </c>
      <c r="B660" t="s">
        <v>45</v>
      </c>
      <c r="C660" s="8">
        <v>864.74</v>
      </c>
      <c r="D660" s="7">
        <v>80</v>
      </c>
      <c r="E660" s="8">
        <v>135.26</v>
      </c>
      <c r="F660" s="8">
        <v>0</v>
      </c>
      <c r="G660" s="8">
        <v>1000</v>
      </c>
      <c r="H660" s="8">
        <v>136.5</v>
      </c>
      <c r="I660" s="8">
        <v>1136.5</v>
      </c>
      <c r="J660" s="7" t="s">
        <v>14</v>
      </c>
    </row>
    <row r="661" spans="1:10" x14ac:dyDescent="0.3">
      <c r="A661" s="10">
        <v>43497</v>
      </c>
      <c r="B661" t="s">
        <v>45</v>
      </c>
      <c r="C661" s="8">
        <v>864.74</v>
      </c>
      <c r="D661" s="7">
        <v>80</v>
      </c>
      <c r="E661" s="8">
        <v>135.26</v>
      </c>
      <c r="F661" s="8">
        <v>0</v>
      </c>
      <c r="G661" s="8">
        <v>1000</v>
      </c>
      <c r="H661" s="8">
        <v>136.5</v>
      </c>
      <c r="I661" s="8">
        <v>1136.5</v>
      </c>
      <c r="J661" s="7" t="s">
        <v>14</v>
      </c>
    </row>
    <row r="662" spans="1:10" x14ac:dyDescent="0.3">
      <c r="A662" s="10">
        <v>43511</v>
      </c>
      <c r="B662" t="s">
        <v>45</v>
      </c>
      <c r="C662" s="8">
        <v>864.74</v>
      </c>
      <c r="D662" s="7">
        <v>80</v>
      </c>
      <c r="E662" s="8">
        <v>135.26</v>
      </c>
      <c r="F662" s="8">
        <v>0</v>
      </c>
      <c r="G662" s="8">
        <v>1000</v>
      </c>
      <c r="H662" s="8">
        <v>136.5</v>
      </c>
      <c r="I662" s="8">
        <v>1136.5</v>
      </c>
      <c r="J662" s="7" t="s">
        <v>14</v>
      </c>
    </row>
    <row r="663" spans="1:10" x14ac:dyDescent="0.3">
      <c r="A663" s="10">
        <v>43525</v>
      </c>
      <c r="B663" t="s">
        <v>45</v>
      </c>
      <c r="C663" s="8">
        <v>864.74</v>
      </c>
      <c r="D663" s="7">
        <v>80</v>
      </c>
      <c r="E663" s="8">
        <v>135.26</v>
      </c>
      <c r="F663" s="8">
        <v>0</v>
      </c>
      <c r="G663" s="8">
        <v>1000</v>
      </c>
      <c r="H663" s="8">
        <v>136.5</v>
      </c>
      <c r="I663" s="8">
        <v>1136.5</v>
      </c>
      <c r="J663" s="7" t="s">
        <v>14</v>
      </c>
    </row>
    <row r="664" spans="1:10" x14ac:dyDescent="0.3">
      <c r="A664" s="10">
        <v>43539</v>
      </c>
      <c r="B664" t="s">
        <v>45</v>
      </c>
      <c r="C664" s="8">
        <v>864.74</v>
      </c>
      <c r="D664" s="7">
        <v>80</v>
      </c>
      <c r="E664" s="8">
        <v>135.26</v>
      </c>
      <c r="F664" s="8">
        <v>0</v>
      </c>
      <c r="G664" s="8">
        <v>1000</v>
      </c>
      <c r="H664" s="8">
        <v>136.5</v>
      </c>
      <c r="I664" s="8">
        <v>1136.5</v>
      </c>
      <c r="J664" s="7" t="s">
        <v>14</v>
      </c>
    </row>
    <row r="665" spans="1:10" x14ac:dyDescent="0.3">
      <c r="A665" s="10">
        <v>43553</v>
      </c>
      <c r="B665" t="s">
        <v>45</v>
      </c>
      <c r="C665" s="8">
        <v>864.74</v>
      </c>
      <c r="D665" s="7">
        <v>80</v>
      </c>
      <c r="E665" s="8">
        <v>135.26</v>
      </c>
      <c r="F665" s="8">
        <v>0</v>
      </c>
      <c r="G665" s="8">
        <v>1000</v>
      </c>
      <c r="H665" s="8">
        <v>136.5</v>
      </c>
      <c r="I665" s="8">
        <v>1136.5</v>
      </c>
      <c r="J665" s="7" t="s">
        <v>14</v>
      </c>
    </row>
    <row r="666" spans="1:10" x14ac:dyDescent="0.3">
      <c r="A666" s="10">
        <v>43567</v>
      </c>
      <c r="B666" t="s">
        <v>45</v>
      </c>
      <c r="C666" s="8">
        <v>864.74</v>
      </c>
      <c r="D666" s="7">
        <v>80</v>
      </c>
      <c r="E666" s="8">
        <v>135.26</v>
      </c>
      <c r="F666" s="8">
        <v>0</v>
      </c>
      <c r="G666" s="8">
        <v>1000</v>
      </c>
      <c r="H666" s="8">
        <v>76.5</v>
      </c>
      <c r="I666" s="8">
        <v>1076.5</v>
      </c>
      <c r="J666" s="7" t="s">
        <v>14</v>
      </c>
    </row>
    <row r="667" spans="1:10" x14ac:dyDescent="0.3">
      <c r="A667" s="10">
        <v>43581</v>
      </c>
      <c r="B667" t="s">
        <v>45</v>
      </c>
      <c r="C667" s="8">
        <v>864.74</v>
      </c>
      <c r="D667" s="7">
        <v>80</v>
      </c>
      <c r="E667" s="8">
        <v>135.26</v>
      </c>
      <c r="F667" s="8">
        <v>0</v>
      </c>
      <c r="G667" s="8">
        <v>1000</v>
      </c>
      <c r="H667" s="8">
        <v>76.5</v>
      </c>
      <c r="I667" s="8">
        <v>1076.5</v>
      </c>
      <c r="J667" s="7" t="s">
        <v>14</v>
      </c>
    </row>
    <row r="668" spans="1:10" x14ac:dyDescent="0.3">
      <c r="A668" s="10">
        <v>43595</v>
      </c>
      <c r="B668" t="s">
        <v>45</v>
      </c>
      <c r="C668" s="8">
        <v>864.74</v>
      </c>
      <c r="D668" s="7">
        <v>80</v>
      </c>
      <c r="E668" s="8">
        <v>135.26</v>
      </c>
      <c r="F668" s="8">
        <v>0</v>
      </c>
      <c r="G668" s="8">
        <v>1000</v>
      </c>
      <c r="H668" s="8">
        <v>76.5</v>
      </c>
      <c r="I668" s="8">
        <v>1076.5</v>
      </c>
      <c r="J668" s="7" t="s">
        <v>14</v>
      </c>
    </row>
    <row r="669" spans="1:10" x14ac:dyDescent="0.3">
      <c r="A669" s="10">
        <v>43609</v>
      </c>
      <c r="B669" t="s">
        <v>45</v>
      </c>
      <c r="C669" s="8">
        <v>864.74</v>
      </c>
      <c r="D669" s="7">
        <v>80</v>
      </c>
      <c r="E669" s="8">
        <v>135.26</v>
      </c>
      <c r="F669" s="8">
        <v>0</v>
      </c>
      <c r="G669" s="8">
        <v>1000</v>
      </c>
      <c r="H669" s="8">
        <v>76.5</v>
      </c>
      <c r="I669" s="8">
        <v>1076.5</v>
      </c>
      <c r="J669" s="7" t="s">
        <v>14</v>
      </c>
    </row>
    <row r="670" spans="1:10" x14ac:dyDescent="0.3">
      <c r="A670" s="10">
        <v>43623</v>
      </c>
      <c r="B670" t="s">
        <v>45</v>
      </c>
      <c r="C670" s="8">
        <v>639.74</v>
      </c>
      <c r="D670" s="7">
        <v>80</v>
      </c>
      <c r="E670" s="8">
        <v>260.26</v>
      </c>
      <c r="F670" s="8">
        <v>100</v>
      </c>
      <c r="G670" s="8">
        <v>1000</v>
      </c>
      <c r="H670" s="8">
        <v>76.5</v>
      </c>
      <c r="I670" s="8">
        <v>1076.5</v>
      </c>
      <c r="J670" s="7" t="s">
        <v>14</v>
      </c>
    </row>
    <row r="671" spans="1:10" x14ac:dyDescent="0.3">
      <c r="A671" s="10">
        <v>43637</v>
      </c>
      <c r="B671" t="s">
        <v>45</v>
      </c>
      <c r="C671" s="8">
        <v>639.74</v>
      </c>
      <c r="D671" s="7">
        <v>80</v>
      </c>
      <c r="E671" s="8">
        <v>260.26</v>
      </c>
      <c r="F671" s="8">
        <v>100</v>
      </c>
      <c r="G671" s="8">
        <v>1000</v>
      </c>
      <c r="H671" s="8">
        <v>76.5</v>
      </c>
      <c r="I671" s="8">
        <v>1076.5</v>
      </c>
      <c r="J671" s="7" t="s">
        <v>14</v>
      </c>
    </row>
    <row r="672" spans="1:10" x14ac:dyDescent="0.3">
      <c r="A672" s="10">
        <v>43665</v>
      </c>
      <c r="B672" t="s">
        <v>45</v>
      </c>
      <c r="C672" s="8">
        <v>714.74</v>
      </c>
      <c r="D672" s="7">
        <v>80</v>
      </c>
      <c r="E672" s="8">
        <v>235.26</v>
      </c>
      <c r="F672" s="8">
        <v>50</v>
      </c>
      <c r="G672" s="8">
        <v>1000</v>
      </c>
      <c r="H672" s="8">
        <v>76.5</v>
      </c>
      <c r="I672" s="8">
        <v>1076.5</v>
      </c>
      <c r="J672" s="7" t="s">
        <v>14</v>
      </c>
    </row>
    <row r="673" spans="1:10" x14ac:dyDescent="0.3">
      <c r="A673" s="10">
        <v>43679</v>
      </c>
      <c r="B673" t="s">
        <v>45</v>
      </c>
      <c r="C673" s="8">
        <v>714.74</v>
      </c>
      <c r="D673" s="7">
        <v>80</v>
      </c>
      <c r="E673" s="8">
        <v>235.26</v>
      </c>
      <c r="F673" s="8">
        <v>50</v>
      </c>
      <c r="G673" s="8">
        <v>1000</v>
      </c>
      <c r="H673" s="8">
        <v>76.5</v>
      </c>
      <c r="I673" s="8">
        <v>1076.5</v>
      </c>
      <c r="J673" s="7" t="s">
        <v>14</v>
      </c>
    </row>
    <row r="674" spans="1:10" x14ac:dyDescent="0.3">
      <c r="A674" s="10">
        <v>43693</v>
      </c>
      <c r="B674" t="s">
        <v>45</v>
      </c>
      <c r="C674" s="8">
        <v>714.74</v>
      </c>
      <c r="D674" s="7">
        <v>80</v>
      </c>
      <c r="E674" s="8">
        <v>235.26</v>
      </c>
      <c r="F674" s="8">
        <v>50</v>
      </c>
      <c r="G674" s="8">
        <v>1000</v>
      </c>
      <c r="H674" s="8">
        <v>76.5</v>
      </c>
      <c r="I674" s="8">
        <v>1076.5</v>
      </c>
      <c r="J674" s="7" t="s">
        <v>14</v>
      </c>
    </row>
    <row r="675" spans="1:10" x14ac:dyDescent="0.3">
      <c r="A675" s="10">
        <v>43707</v>
      </c>
      <c r="B675" t="s">
        <v>45</v>
      </c>
      <c r="C675" s="8">
        <v>714.74</v>
      </c>
      <c r="D675" s="7">
        <v>80</v>
      </c>
      <c r="E675" s="8">
        <v>235.26</v>
      </c>
      <c r="F675" s="8">
        <v>50</v>
      </c>
      <c r="G675" s="8">
        <v>1000</v>
      </c>
      <c r="H675" s="8">
        <v>76.5</v>
      </c>
      <c r="I675" s="8">
        <v>1076.5</v>
      </c>
      <c r="J675" s="7" t="s">
        <v>14</v>
      </c>
    </row>
    <row r="676" spans="1:10" x14ac:dyDescent="0.3">
      <c r="A676" s="10">
        <v>43721</v>
      </c>
      <c r="B676" t="s">
        <v>45</v>
      </c>
      <c r="C676" s="8">
        <v>714.74</v>
      </c>
      <c r="D676" s="7">
        <v>80</v>
      </c>
      <c r="E676" s="8">
        <v>235.26</v>
      </c>
      <c r="F676" s="8">
        <v>50</v>
      </c>
      <c r="G676" s="8">
        <v>1000</v>
      </c>
      <c r="H676" s="8">
        <v>76.5</v>
      </c>
      <c r="I676" s="8">
        <v>1076.5</v>
      </c>
      <c r="J676" s="7" t="s">
        <v>14</v>
      </c>
    </row>
    <row r="677" spans="1:10" x14ac:dyDescent="0.3">
      <c r="A677" s="10">
        <v>43735</v>
      </c>
      <c r="B677" t="s">
        <v>45</v>
      </c>
      <c r="C677" s="8">
        <v>714.74</v>
      </c>
      <c r="D677" s="7">
        <v>80</v>
      </c>
      <c r="E677" s="8">
        <v>235.26</v>
      </c>
      <c r="F677" s="8">
        <v>50</v>
      </c>
      <c r="G677" s="8">
        <v>1000</v>
      </c>
      <c r="H677" s="8">
        <v>76.5</v>
      </c>
      <c r="I677" s="8">
        <v>1076.5</v>
      </c>
      <c r="J677" s="7" t="s">
        <v>14</v>
      </c>
    </row>
    <row r="678" spans="1:10" x14ac:dyDescent="0.3">
      <c r="A678" s="10">
        <v>43749</v>
      </c>
      <c r="B678" t="s">
        <v>45</v>
      </c>
      <c r="C678" s="8">
        <v>714.74</v>
      </c>
      <c r="D678" s="7">
        <v>80</v>
      </c>
      <c r="E678" s="8">
        <v>235.26</v>
      </c>
      <c r="F678" s="8">
        <v>50</v>
      </c>
      <c r="G678" s="8">
        <v>1000</v>
      </c>
      <c r="H678" s="8">
        <v>76.5</v>
      </c>
      <c r="I678" s="8">
        <v>1076.5</v>
      </c>
      <c r="J678" s="7" t="s">
        <v>14</v>
      </c>
    </row>
    <row r="679" spans="1:10" x14ac:dyDescent="0.3">
      <c r="A679" s="10">
        <v>43763</v>
      </c>
      <c r="B679" t="s">
        <v>45</v>
      </c>
      <c r="C679" s="8">
        <v>714.74</v>
      </c>
      <c r="D679" s="7">
        <v>80</v>
      </c>
      <c r="E679" s="8">
        <v>235.26</v>
      </c>
      <c r="F679" s="8">
        <v>50</v>
      </c>
      <c r="G679" s="8">
        <v>1000</v>
      </c>
      <c r="H679" s="8">
        <v>76.5</v>
      </c>
      <c r="I679" s="8">
        <v>1076.5</v>
      </c>
      <c r="J679" s="7" t="s">
        <v>14</v>
      </c>
    </row>
    <row r="680" spans="1:10" x14ac:dyDescent="0.3">
      <c r="A680" s="10">
        <v>43777</v>
      </c>
      <c r="B680" t="s">
        <v>45</v>
      </c>
      <c r="C680" s="8">
        <v>714.74</v>
      </c>
      <c r="D680" s="7">
        <v>80</v>
      </c>
      <c r="E680" s="8">
        <v>235.26</v>
      </c>
      <c r="F680" s="8">
        <v>50</v>
      </c>
      <c r="G680" s="8">
        <v>1000</v>
      </c>
      <c r="H680" s="8">
        <v>76.5</v>
      </c>
      <c r="I680" s="8">
        <v>1076.5</v>
      </c>
      <c r="J680" s="7" t="s">
        <v>14</v>
      </c>
    </row>
    <row r="681" spans="1:10" x14ac:dyDescent="0.3">
      <c r="A681" s="10">
        <v>43791</v>
      </c>
      <c r="B681" t="s">
        <v>45</v>
      </c>
      <c r="C681" s="8">
        <v>714.74</v>
      </c>
      <c r="D681" s="7">
        <v>80</v>
      </c>
      <c r="E681" s="8">
        <v>235.26</v>
      </c>
      <c r="F681" s="8">
        <v>50</v>
      </c>
      <c r="G681" s="8">
        <v>1000</v>
      </c>
      <c r="H681" s="8">
        <v>76.5</v>
      </c>
      <c r="I681" s="8">
        <v>1076.5</v>
      </c>
      <c r="J681" s="7" t="s">
        <v>14</v>
      </c>
    </row>
    <row r="682" spans="1:10" x14ac:dyDescent="0.3">
      <c r="A682" s="10">
        <v>43805</v>
      </c>
      <c r="B682" t="s">
        <v>45</v>
      </c>
      <c r="C682" s="8">
        <v>714.74</v>
      </c>
      <c r="D682" s="7">
        <v>80</v>
      </c>
      <c r="E682" s="8">
        <v>235.26</v>
      </c>
      <c r="F682" s="8">
        <v>50</v>
      </c>
      <c r="G682" s="8">
        <v>1000</v>
      </c>
      <c r="H682" s="8">
        <v>76.5</v>
      </c>
      <c r="I682" s="8">
        <v>1076.5</v>
      </c>
      <c r="J682" s="7" t="s">
        <v>14</v>
      </c>
    </row>
    <row r="683" spans="1:10" x14ac:dyDescent="0.3">
      <c r="A683" s="10">
        <v>43819</v>
      </c>
      <c r="B683" t="s">
        <v>45</v>
      </c>
      <c r="C683" s="8">
        <v>714.74</v>
      </c>
      <c r="D683" s="7">
        <v>80</v>
      </c>
      <c r="E683" s="8">
        <v>235.26</v>
      </c>
      <c r="F683" s="8">
        <v>50</v>
      </c>
      <c r="G683" s="8">
        <v>1000</v>
      </c>
      <c r="H683" s="8">
        <v>76.5</v>
      </c>
      <c r="I683" s="8">
        <v>1076.5</v>
      </c>
      <c r="J683" s="7" t="s">
        <v>14</v>
      </c>
    </row>
    <row r="684" spans="1:10" x14ac:dyDescent="0.3">
      <c r="A684" s="10">
        <v>43833</v>
      </c>
      <c r="B684" t="s">
        <v>45</v>
      </c>
      <c r="C684" s="8">
        <v>715.8</v>
      </c>
      <c r="D684" s="7">
        <v>80</v>
      </c>
      <c r="E684" s="8">
        <v>234.2</v>
      </c>
      <c r="F684" s="8">
        <v>50</v>
      </c>
      <c r="G684" s="8">
        <v>1000</v>
      </c>
      <c r="H684" s="8">
        <v>136.5</v>
      </c>
      <c r="I684" s="8">
        <v>1136.5</v>
      </c>
      <c r="J684" s="7" t="s">
        <v>14</v>
      </c>
    </row>
    <row r="685" spans="1:10" x14ac:dyDescent="0.3">
      <c r="A685" s="10">
        <v>43847</v>
      </c>
      <c r="B685" t="s">
        <v>45</v>
      </c>
      <c r="C685" s="8">
        <v>715.8</v>
      </c>
      <c r="D685" s="7">
        <v>80</v>
      </c>
      <c r="E685" s="8">
        <v>234.2</v>
      </c>
      <c r="F685" s="8">
        <v>50</v>
      </c>
      <c r="G685" s="8">
        <v>1000</v>
      </c>
      <c r="H685" s="8">
        <v>136.5</v>
      </c>
      <c r="I685" s="8">
        <v>1136.5</v>
      </c>
      <c r="J685" s="7" t="s">
        <v>14</v>
      </c>
    </row>
    <row r="686" spans="1:10" x14ac:dyDescent="0.3">
      <c r="A686" s="10">
        <v>43861</v>
      </c>
      <c r="B686" t="s">
        <v>45</v>
      </c>
      <c r="C686" s="8">
        <v>715.8</v>
      </c>
      <c r="D686" s="7">
        <v>80</v>
      </c>
      <c r="E686" s="8">
        <v>234.2</v>
      </c>
      <c r="F686" s="8">
        <v>50</v>
      </c>
      <c r="G686" s="8">
        <v>1000</v>
      </c>
      <c r="H686" s="8">
        <v>136.5</v>
      </c>
      <c r="I686" s="8">
        <v>1136.5</v>
      </c>
      <c r="J686" s="7" t="s">
        <v>14</v>
      </c>
    </row>
    <row r="687" spans="1:10" x14ac:dyDescent="0.3">
      <c r="A687" s="10">
        <v>43875</v>
      </c>
      <c r="B687" t="s">
        <v>45</v>
      </c>
      <c r="C687" s="8">
        <v>715.8</v>
      </c>
      <c r="D687" s="7">
        <v>80</v>
      </c>
      <c r="E687" s="8">
        <v>234.2</v>
      </c>
      <c r="F687" s="8">
        <v>50</v>
      </c>
      <c r="G687" s="8">
        <v>1000</v>
      </c>
      <c r="H687" s="8">
        <v>136.5</v>
      </c>
      <c r="I687" s="8">
        <v>1136.5</v>
      </c>
      <c r="J687" s="7" t="s">
        <v>14</v>
      </c>
    </row>
    <row r="688" spans="1:10" x14ac:dyDescent="0.3">
      <c r="A688" s="10">
        <v>43889</v>
      </c>
      <c r="B688" t="s">
        <v>45</v>
      </c>
      <c r="C688" s="8">
        <v>1732.96</v>
      </c>
      <c r="D688" s="7">
        <v>80</v>
      </c>
      <c r="E688" s="8">
        <v>151.66</v>
      </c>
      <c r="F688" s="8">
        <v>0</v>
      </c>
      <c r="G688" s="8">
        <v>1884.62</v>
      </c>
      <c r="H688" s="8">
        <v>257.26</v>
      </c>
      <c r="I688" s="8">
        <v>2141.88</v>
      </c>
      <c r="J688" s="7" t="s">
        <v>14</v>
      </c>
    </row>
    <row r="689" spans="1:10" x14ac:dyDescent="0.3">
      <c r="A689" s="10">
        <v>43903</v>
      </c>
      <c r="B689" t="s">
        <v>45</v>
      </c>
      <c r="C689" s="8">
        <v>1278.71</v>
      </c>
      <c r="D689" s="7">
        <v>80</v>
      </c>
      <c r="E689" s="8">
        <v>105.91</v>
      </c>
      <c r="F689" s="8">
        <v>0</v>
      </c>
      <c r="G689" s="8">
        <v>1384.62</v>
      </c>
      <c r="H689" s="8">
        <v>172.83</v>
      </c>
      <c r="I689" s="8">
        <v>1557.45</v>
      </c>
      <c r="J689" s="7" t="s">
        <v>14</v>
      </c>
    </row>
    <row r="690" spans="1:10" x14ac:dyDescent="0.3">
      <c r="A690" s="10">
        <v>43917</v>
      </c>
      <c r="B690" t="s">
        <v>45</v>
      </c>
      <c r="C690" s="8">
        <v>1278.69</v>
      </c>
      <c r="D690" s="7">
        <v>80</v>
      </c>
      <c r="E690" s="8">
        <v>105.93</v>
      </c>
      <c r="F690" s="8">
        <v>0</v>
      </c>
      <c r="G690" s="8">
        <v>1384.62</v>
      </c>
      <c r="H690" s="8">
        <v>105.93</v>
      </c>
      <c r="I690" s="8">
        <v>1490.55</v>
      </c>
      <c r="J690" s="7" t="s">
        <v>14</v>
      </c>
    </row>
    <row r="691" spans="1:10" x14ac:dyDescent="0.3">
      <c r="A691" s="10">
        <v>43931</v>
      </c>
      <c r="B691" t="s">
        <v>45</v>
      </c>
      <c r="C691" s="8">
        <v>1278.69</v>
      </c>
      <c r="D691" s="7">
        <v>80</v>
      </c>
      <c r="E691" s="8">
        <v>105.93</v>
      </c>
      <c r="F691" s="8">
        <v>0</v>
      </c>
      <c r="G691" s="8">
        <v>1384.62</v>
      </c>
      <c r="H691" s="8">
        <v>105.93</v>
      </c>
      <c r="I691" s="8">
        <v>1490.55</v>
      </c>
      <c r="J691" s="7" t="s">
        <v>14</v>
      </c>
    </row>
    <row r="692" spans="1:10" x14ac:dyDescent="0.3">
      <c r="A692" s="10">
        <v>43945</v>
      </c>
      <c r="B692" t="s">
        <v>45</v>
      </c>
      <c r="C692" s="8">
        <v>1278.71</v>
      </c>
      <c r="D692" s="7">
        <v>80</v>
      </c>
      <c r="E692" s="8">
        <v>105.91</v>
      </c>
      <c r="F692" s="8">
        <v>0</v>
      </c>
      <c r="G692" s="8">
        <v>1384.62</v>
      </c>
      <c r="H692" s="8">
        <v>105.91</v>
      </c>
      <c r="I692" s="8">
        <v>1490.53</v>
      </c>
      <c r="J692" s="7" t="s">
        <v>14</v>
      </c>
    </row>
    <row r="693" spans="1:10" x14ac:dyDescent="0.3">
      <c r="A693" s="10">
        <v>43959</v>
      </c>
      <c r="B693" t="s">
        <v>45</v>
      </c>
      <c r="C693" s="8">
        <v>1278.69</v>
      </c>
      <c r="D693" s="7">
        <v>80</v>
      </c>
      <c r="E693" s="8">
        <v>105.93</v>
      </c>
      <c r="F693" s="8">
        <v>0</v>
      </c>
      <c r="G693" s="8">
        <v>1384.62</v>
      </c>
      <c r="H693" s="8">
        <v>105.93</v>
      </c>
      <c r="I693" s="8">
        <v>1490.55</v>
      </c>
      <c r="J693" s="7" t="s">
        <v>14</v>
      </c>
    </row>
    <row r="694" spans="1:10" x14ac:dyDescent="0.3">
      <c r="A694" s="10">
        <v>43973</v>
      </c>
      <c r="B694" t="s">
        <v>45</v>
      </c>
      <c r="C694" s="8">
        <v>1278.69</v>
      </c>
      <c r="D694" s="7">
        <v>80</v>
      </c>
      <c r="E694" s="8">
        <v>105.93</v>
      </c>
      <c r="F694" s="8">
        <v>0</v>
      </c>
      <c r="G694" s="8">
        <v>1384.62</v>
      </c>
      <c r="H694" s="8">
        <v>105.93</v>
      </c>
      <c r="I694" s="8">
        <v>1490.55</v>
      </c>
      <c r="J694" s="7" t="s">
        <v>14</v>
      </c>
    </row>
    <row r="695" spans="1:10" x14ac:dyDescent="0.3">
      <c r="A695" s="10">
        <v>43987</v>
      </c>
      <c r="B695" t="s">
        <v>45</v>
      </c>
      <c r="C695" s="8">
        <v>1278.7</v>
      </c>
      <c r="D695" s="7">
        <v>80</v>
      </c>
      <c r="E695" s="8">
        <v>105.92</v>
      </c>
      <c r="F695" s="8">
        <v>0</v>
      </c>
      <c r="G695" s="8">
        <v>1384.62</v>
      </c>
      <c r="H695" s="8">
        <v>105.92</v>
      </c>
      <c r="I695" s="8">
        <v>1490.54</v>
      </c>
      <c r="J695" s="7" t="s">
        <v>14</v>
      </c>
    </row>
    <row r="696" spans="1:10" x14ac:dyDescent="0.3">
      <c r="A696" s="21" t="s">
        <v>15</v>
      </c>
      <c r="B696" s="22" t="str">
        <f>+B695</f>
        <v>Claudia L. Penunuri</v>
      </c>
      <c r="C696" s="23">
        <f>SUM(C638:C695)</f>
        <v>48252.380000000034</v>
      </c>
      <c r="D696" s="23">
        <f t="shared" ref="D696:I696" si="29">SUM(D638:D695)</f>
        <v>4400</v>
      </c>
      <c r="E696" s="23">
        <f t="shared" si="29"/>
        <v>9324.5800000000072</v>
      </c>
      <c r="F696" s="23">
        <f t="shared" si="29"/>
        <v>1000</v>
      </c>
      <c r="G696" s="23">
        <f t="shared" si="29"/>
        <v>58576.960000000021</v>
      </c>
      <c r="H696" s="23">
        <f t="shared" si="29"/>
        <v>5739.6000000000013</v>
      </c>
      <c r="I696" s="23">
        <f t="shared" si="29"/>
        <v>64316.560000000012</v>
      </c>
      <c r="J696" s="24"/>
    </row>
    <row r="697" spans="1:10" x14ac:dyDescent="0.3">
      <c r="A697" s="10">
        <v>43889</v>
      </c>
      <c r="B697" t="s">
        <v>46</v>
      </c>
      <c r="C697" s="8">
        <v>575</v>
      </c>
      <c r="D697" s="7">
        <v>23</v>
      </c>
      <c r="E697" s="8">
        <v>55.12</v>
      </c>
      <c r="F697" s="8">
        <v>0</v>
      </c>
      <c r="G697" s="8">
        <v>630.12</v>
      </c>
      <c r="H697" s="8">
        <v>89.2</v>
      </c>
      <c r="I697" s="8">
        <v>719.32</v>
      </c>
      <c r="J697" s="7">
        <v>100199</v>
      </c>
    </row>
    <row r="698" spans="1:10" x14ac:dyDescent="0.3">
      <c r="A698" s="10">
        <v>43903</v>
      </c>
      <c r="B698" t="s">
        <v>46</v>
      </c>
      <c r="C698" s="8">
        <v>1977</v>
      </c>
      <c r="D698" s="7">
        <v>80</v>
      </c>
      <c r="E698" s="8">
        <v>282.98</v>
      </c>
      <c r="F698" s="8">
        <v>135</v>
      </c>
      <c r="G698" s="8">
        <v>2394.98</v>
      </c>
      <c r="H698" s="8">
        <v>321.27999999999997</v>
      </c>
      <c r="I698" s="8">
        <v>2716.26</v>
      </c>
      <c r="J698" s="7">
        <v>100203</v>
      </c>
    </row>
    <row r="699" spans="1:10" x14ac:dyDescent="0.3">
      <c r="A699" s="10">
        <v>43917</v>
      </c>
      <c r="B699" t="s">
        <v>46</v>
      </c>
      <c r="C699" s="8">
        <v>0</v>
      </c>
      <c r="D699" s="7">
        <v>0</v>
      </c>
      <c r="E699" s="8">
        <v>0</v>
      </c>
      <c r="F699" s="8">
        <v>0</v>
      </c>
      <c r="G699" s="8">
        <v>0</v>
      </c>
      <c r="H699" s="8">
        <v>0.5</v>
      </c>
      <c r="I699" s="8">
        <v>0.5</v>
      </c>
    </row>
    <row r="700" spans="1:10" x14ac:dyDescent="0.3">
      <c r="A700" s="10">
        <v>43917</v>
      </c>
      <c r="B700" t="s">
        <v>46</v>
      </c>
      <c r="C700" s="8">
        <v>0</v>
      </c>
      <c r="D700" s="7">
        <v>0</v>
      </c>
      <c r="E700" s="8">
        <v>0</v>
      </c>
      <c r="F700" s="8">
        <v>0</v>
      </c>
      <c r="G700" s="8">
        <v>0</v>
      </c>
      <c r="H700" s="8">
        <v>-76.47</v>
      </c>
      <c r="I700" s="8">
        <v>-76.47</v>
      </c>
    </row>
    <row r="701" spans="1:10" x14ac:dyDescent="0.3">
      <c r="A701" s="10">
        <v>43917</v>
      </c>
      <c r="B701" t="s">
        <v>46</v>
      </c>
      <c r="C701" s="8">
        <v>1991.09</v>
      </c>
      <c r="D701" s="7">
        <v>81.5</v>
      </c>
      <c r="E701" s="8">
        <v>353.04</v>
      </c>
      <c r="F701" s="8">
        <v>0</v>
      </c>
      <c r="G701" s="8">
        <v>2344.13</v>
      </c>
      <c r="H701" s="8">
        <v>346.36</v>
      </c>
      <c r="I701" s="8">
        <v>2690.49</v>
      </c>
      <c r="J701" s="7">
        <v>100206</v>
      </c>
    </row>
    <row r="702" spans="1:10" x14ac:dyDescent="0.3">
      <c r="A702" s="10">
        <v>43917</v>
      </c>
      <c r="B702" t="s">
        <v>46</v>
      </c>
      <c r="C702" s="8">
        <v>0</v>
      </c>
      <c r="D702" s="7">
        <v>0</v>
      </c>
      <c r="E702" s="8">
        <v>0</v>
      </c>
      <c r="F702" s="8">
        <v>0</v>
      </c>
      <c r="G702" s="8">
        <v>0</v>
      </c>
      <c r="H702" s="8">
        <v>77.650000000000006</v>
      </c>
      <c r="I702" s="8">
        <v>77.650000000000006</v>
      </c>
    </row>
    <row r="703" spans="1:10" x14ac:dyDescent="0.3">
      <c r="A703" s="10">
        <v>43931</v>
      </c>
      <c r="B703" t="s">
        <v>46</v>
      </c>
      <c r="C703" s="8">
        <v>0</v>
      </c>
      <c r="D703" s="7">
        <v>0</v>
      </c>
      <c r="E703" s="8">
        <v>0</v>
      </c>
      <c r="F703" s="8">
        <v>0</v>
      </c>
      <c r="G703" s="8">
        <v>0</v>
      </c>
      <c r="H703" s="8">
        <v>-17.329999999999998</v>
      </c>
      <c r="I703" s="8">
        <v>-17.329999999999998</v>
      </c>
    </row>
    <row r="704" spans="1:10" x14ac:dyDescent="0.3">
      <c r="A704" s="10">
        <v>43931</v>
      </c>
      <c r="B704" t="s">
        <v>46</v>
      </c>
      <c r="C704" s="8">
        <v>1033.07</v>
      </c>
      <c r="D704" s="7">
        <v>40</v>
      </c>
      <c r="E704" s="8">
        <v>106.93</v>
      </c>
      <c r="F704" s="8">
        <v>0</v>
      </c>
      <c r="G704" s="8">
        <v>1140</v>
      </c>
      <c r="H704" s="8">
        <v>168.96</v>
      </c>
      <c r="I704" s="8">
        <v>1308.96</v>
      </c>
      <c r="J704" s="7">
        <v>100209</v>
      </c>
    </row>
    <row r="705" spans="1:10" x14ac:dyDescent="0.3">
      <c r="A705" s="10">
        <v>43931</v>
      </c>
      <c r="B705" t="s">
        <v>46</v>
      </c>
      <c r="C705" s="8">
        <v>0</v>
      </c>
      <c r="D705" s="7">
        <v>0</v>
      </c>
      <c r="E705" s="8">
        <v>0</v>
      </c>
      <c r="F705" s="8">
        <v>0</v>
      </c>
      <c r="G705" s="8">
        <v>0</v>
      </c>
      <c r="H705" s="8">
        <v>0.11</v>
      </c>
      <c r="I705" s="8">
        <v>0.11</v>
      </c>
    </row>
    <row r="706" spans="1:10" x14ac:dyDescent="0.3">
      <c r="A706" s="10">
        <v>43931</v>
      </c>
      <c r="B706" t="s">
        <v>46</v>
      </c>
      <c r="C706" s="8">
        <v>0</v>
      </c>
      <c r="D706" s="7">
        <v>0</v>
      </c>
      <c r="E706" s="8">
        <v>0</v>
      </c>
      <c r="F706" s="8">
        <v>0</v>
      </c>
      <c r="G706" s="8">
        <v>0</v>
      </c>
      <c r="H706" s="8">
        <v>16.84</v>
      </c>
      <c r="I706" s="8">
        <v>16.84</v>
      </c>
    </row>
    <row r="707" spans="1:10" x14ac:dyDescent="0.3">
      <c r="A707" s="10">
        <v>43945</v>
      </c>
      <c r="B707" t="s">
        <v>46</v>
      </c>
      <c r="C707" s="8">
        <v>500</v>
      </c>
      <c r="D707" s="7">
        <v>19.36</v>
      </c>
      <c r="E707" s="8">
        <v>51.76</v>
      </c>
      <c r="F707" s="8">
        <v>0</v>
      </c>
      <c r="G707" s="8">
        <v>551.76</v>
      </c>
      <c r="H707" s="8">
        <v>81.59</v>
      </c>
      <c r="I707" s="8">
        <v>633.35</v>
      </c>
      <c r="J707" s="7">
        <v>100212</v>
      </c>
    </row>
    <row r="708" spans="1:10" x14ac:dyDescent="0.3">
      <c r="A708" s="10">
        <v>43959</v>
      </c>
      <c r="B708" t="s">
        <v>46</v>
      </c>
      <c r="C708" s="8">
        <v>700.04</v>
      </c>
      <c r="D708" s="7">
        <v>27.11</v>
      </c>
      <c r="E708" s="8">
        <v>72.45</v>
      </c>
      <c r="F708" s="8">
        <v>0</v>
      </c>
      <c r="G708" s="8">
        <v>772.49</v>
      </c>
      <c r="H708" s="8">
        <v>111.25</v>
      </c>
      <c r="I708" s="8">
        <v>883.74</v>
      </c>
      <c r="J708" s="7">
        <v>100216</v>
      </c>
    </row>
    <row r="709" spans="1:10" x14ac:dyDescent="0.3">
      <c r="A709" s="10">
        <v>43973</v>
      </c>
      <c r="B709" t="s">
        <v>46</v>
      </c>
      <c r="C709" s="8">
        <v>1407.54</v>
      </c>
      <c r="D709" s="7">
        <v>54.5</v>
      </c>
      <c r="E709" s="8">
        <v>145.71</v>
      </c>
      <c r="F709" s="8">
        <v>0</v>
      </c>
      <c r="G709" s="8">
        <v>1553.25</v>
      </c>
      <c r="H709" s="8">
        <v>220.39</v>
      </c>
      <c r="I709" s="8">
        <v>1773.64</v>
      </c>
      <c r="J709" s="7">
        <v>100219</v>
      </c>
    </row>
    <row r="710" spans="1:10" x14ac:dyDescent="0.3">
      <c r="A710" s="10">
        <v>43987</v>
      </c>
      <c r="B710" t="s">
        <v>46</v>
      </c>
      <c r="C710" s="8">
        <v>3258.7</v>
      </c>
      <c r="D710" s="7">
        <v>109.5</v>
      </c>
      <c r="E710" s="8">
        <v>472.76</v>
      </c>
      <c r="F710" s="8">
        <v>0</v>
      </c>
      <c r="G710" s="8">
        <v>3731.46</v>
      </c>
      <c r="H710" s="8">
        <v>475.45</v>
      </c>
      <c r="I710" s="8">
        <v>4206.91</v>
      </c>
      <c r="J710" s="7">
        <v>100222</v>
      </c>
    </row>
    <row r="711" spans="1:10" x14ac:dyDescent="0.3">
      <c r="A711" s="21" t="s">
        <v>15</v>
      </c>
      <c r="B711" s="22" t="str">
        <f>+B710</f>
        <v>Gabriel Rios Ortiz</v>
      </c>
      <c r="C711" s="23">
        <f>SUM(C697:C710)</f>
        <v>11442.439999999999</v>
      </c>
      <c r="D711" s="23">
        <f t="shared" ref="D711:I711" si="30">SUM(D697:D710)</f>
        <v>434.97</v>
      </c>
      <c r="E711" s="23">
        <f t="shared" si="30"/>
        <v>1540.7500000000002</v>
      </c>
      <c r="F711" s="23">
        <f t="shared" si="30"/>
        <v>135</v>
      </c>
      <c r="G711" s="23">
        <f t="shared" si="30"/>
        <v>13118.189999999999</v>
      </c>
      <c r="H711" s="23">
        <f t="shared" si="30"/>
        <v>1815.78</v>
      </c>
      <c r="I711" s="23">
        <f t="shared" si="30"/>
        <v>14933.97</v>
      </c>
      <c r="J711" s="24"/>
    </row>
    <row r="712" spans="1:10" x14ac:dyDescent="0.3">
      <c r="A712" s="10">
        <v>43427</v>
      </c>
      <c r="B712" t="s">
        <v>47</v>
      </c>
      <c r="C712" s="8">
        <v>2632</v>
      </c>
      <c r="D712" s="7">
        <v>80</v>
      </c>
      <c r="E712" s="8">
        <v>264.02999999999997</v>
      </c>
      <c r="F712" s="8">
        <v>0</v>
      </c>
      <c r="G712" s="8">
        <v>2896.03</v>
      </c>
      <c r="H712" s="8">
        <v>451.88</v>
      </c>
      <c r="I712" s="8">
        <v>3347.91</v>
      </c>
      <c r="J712" s="7">
        <v>100101</v>
      </c>
    </row>
    <row r="713" spans="1:10" x14ac:dyDescent="0.3">
      <c r="A713" s="10">
        <v>43441</v>
      </c>
      <c r="B713" t="s">
        <v>47</v>
      </c>
      <c r="C713" s="8">
        <v>1265</v>
      </c>
      <c r="D713" s="7">
        <v>77.5</v>
      </c>
      <c r="E713" s="8">
        <v>312.10000000000002</v>
      </c>
      <c r="F713" s="8">
        <v>440</v>
      </c>
      <c r="G713" s="8">
        <v>2017.1</v>
      </c>
      <c r="H713" s="8">
        <v>358.44</v>
      </c>
      <c r="I713" s="8">
        <v>2375.54</v>
      </c>
      <c r="J713" s="7">
        <v>100104</v>
      </c>
    </row>
    <row r="714" spans="1:10" x14ac:dyDescent="0.3">
      <c r="A714" s="10">
        <v>43455</v>
      </c>
      <c r="B714" t="s">
        <v>47</v>
      </c>
      <c r="C714" s="8">
        <v>1884</v>
      </c>
      <c r="D714" s="7">
        <v>80</v>
      </c>
      <c r="E714" s="8">
        <v>553.17999999999995</v>
      </c>
      <c r="F714" s="8">
        <v>800</v>
      </c>
      <c r="G714" s="8">
        <v>3237.18</v>
      </c>
      <c r="H714" s="8">
        <v>479.3</v>
      </c>
      <c r="I714" s="8">
        <v>3716.48</v>
      </c>
      <c r="J714" s="7">
        <v>100118</v>
      </c>
    </row>
    <row r="715" spans="1:10" x14ac:dyDescent="0.3">
      <c r="A715" s="10">
        <v>43469</v>
      </c>
      <c r="B715" t="s">
        <v>47</v>
      </c>
      <c r="C715" s="8">
        <v>0</v>
      </c>
      <c r="D715" s="7">
        <v>0</v>
      </c>
      <c r="E715" s="8">
        <v>0</v>
      </c>
      <c r="F715" s="8">
        <v>0</v>
      </c>
      <c r="G715" s="8">
        <v>0</v>
      </c>
      <c r="H715" s="8">
        <v>0</v>
      </c>
      <c r="I715" s="8">
        <v>0</v>
      </c>
    </row>
    <row r="716" spans="1:10" x14ac:dyDescent="0.3">
      <c r="A716" s="10">
        <v>43469</v>
      </c>
      <c r="B716" t="s">
        <v>47</v>
      </c>
      <c r="C716" s="8">
        <v>1639</v>
      </c>
      <c r="D716" s="7">
        <v>80</v>
      </c>
      <c r="E716" s="8">
        <v>410.42</v>
      </c>
      <c r="F716" s="8">
        <v>440</v>
      </c>
      <c r="G716" s="8">
        <v>2489.42</v>
      </c>
      <c r="H716" s="8">
        <v>410.98</v>
      </c>
      <c r="I716" s="8">
        <v>2900.4</v>
      </c>
      <c r="J716" s="7">
        <v>100125</v>
      </c>
    </row>
    <row r="717" spans="1:10" x14ac:dyDescent="0.3">
      <c r="A717" s="10">
        <v>43483</v>
      </c>
      <c r="B717" t="s">
        <v>47</v>
      </c>
      <c r="C717" s="8">
        <v>1796</v>
      </c>
      <c r="D717" s="7">
        <v>80</v>
      </c>
      <c r="E717" s="8">
        <v>268.92</v>
      </c>
      <c r="F717" s="8">
        <v>800</v>
      </c>
      <c r="G717" s="8">
        <v>2864.92</v>
      </c>
      <c r="H717" s="8">
        <v>448.75</v>
      </c>
      <c r="I717" s="8">
        <v>3313.67</v>
      </c>
      <c r="J717" s="7">
        <v>100133</v>
      </c>
    </row>
    <row r="718" spans="1:10" x14ac:dyDescent="0.3">
      <c r="A718" s="10">
        <v>43483</v>
      </c>
      <c r="B718" t="s">
        <v>47</v>
      </c>
      <c r="C718" s="8">
        <v>0</v>
      </c>
      <c r="D718" s="7">
        <v>0</v>
      </c>
      <c r="E718" s="8">
        <v>0</v>
      </c>
      <c r="F718" s="8">
        <v>0</v>
      </c>
      <c r="G718" s="8">
        <v>0</v>
      </c>
      <c r="H718" s="8">
        <v>0</v>
      </c>
      <c r="I718" s="8">
        <v>0</v>
      </c>
    </row>
    <row r="719" spans="1:10" x14ac:dyDescent="0.3">
      <c r="A719" s="10">
        <v>43483</v>
      </c>
      <c r="B719" t="s">
        <v>47</v>
      </c>
      <c r="C719" s="8">
        <v>0</v>
      </c>
      <c r="D719" s="7">
        <v>0</v>
      </c>
      <c r="E719" s="8">
        <v>-0.01</v>
      </c>
      <c r="F719" s="8">
        <v>0.01</v>
      </c>
      <c r="G719" s="8">
        <v>0</v>
      </c>
      <c r="H719" s="8">
        <v>0</v>
      </c>
      <c r="I719" s="8">
        <v>0</v>
      </c>
    </row>
    <row r="720" spans="1:10" x14ac:dyDescent="0.3">
      <c r="A720" s="10">
        <v>43497</v>
      </c>
      <c r="B720" t="s">
        <v>47</v>
      </c>
      <c r="C720" s="8">
        <v>0</v>
      </c>
      <c r="D720" s="7">
        <v>0</v>
      </c>
      <c r="E720" s="8">
        <v>-0.01</v>
      </c>
      <c r="F720" s="8">
        <v>0.01</v>
      </c>
      <c r="G720" s="8">
        <v>0</v>
      </c>
      <c r="H720" s="8">
        <v>0</v>
      </c>
      <c r="I720" s="8">
        <v>0</v>
      </c>
    </row>
    <row r="721" spans="1:10" x14ac:dyDescent="0.3">
      <c r="A721" s="10">
        <v>43497</v>
      </c>
      <c r="B721" t="s">
        <v>47</v>
      </c>
      <c r="C721" s="8">
        <v>2871</v>
      </c>
      <c r="D721" s="7">
        <v>80</v>
      </c>
      <c r="E721" s="8">
        <v>607.23</v>
      </c>
      <c r="F721" s="8">
        <v>0</v>
      </c>
      <c r="G721" s="8">
        <v>3478.23</v>
      </c>
      <c r="H721" s="8">
        <v>499.45</v>
      </c>
      <c r="I721" s="8">
        <v>3977.68</v>
      </c>
      <c r="J721" s="7">
        <v>100145</v>
      </c>
    </row>
    <row r="722" spans="1:10" x14ac:dyDescent="0.3">
      <c r="A722" s="10">
        <v>43511</v>
      </c>
      <c r="B722" t="s">
        <v>47</v>
      </c>
      <c r="C722" s="8">
        <v>2409</v>
      </c>
      <c r="D722" s="7">
        <v>80</v>
      </c>
      <c r="E722" s="8">
        <v>252.87</v>
      </c>
      <c r="F722" s="8">
        <v>0</v>
      </c>
      <c r="G722" s="8">
        <v>2661.87</v>
      </c>
      <c r="H722" s="8">
        <v>412.36</v>
      </c>
      <c r="I722" s="8">
        <v>3074.23</v>
      </c>
      <c r="J722" s="7">
        <v>100153</v>
      </c>
    </row>
    <row r="723" spans="1:10" x14ac:dyDescent="0.3">
      <c r="A723" s="10">
        <v>43511</v>
      </c>
      <c r="B723" t="s">
        <v>47</v>
      </c>
      <c r="C723" s="8">
        <v>0</v>
      </c>
      <c r="D723" s="7">
        <v>0</v>
      </c>
      <c r="E723" s="8">
        <v>-0.01</v>
      </c>
      <c r="F723" s="8">
        <v>0.01</v>
      </c>
      <c r="G723" s="8">
        <v>0</v>
      </c>
      <c r="H723" s="8">
        <v>0</v>
      </c>
      <c r="I723" s="8">
        <v>0</v>
      </c>
    </row>
    <row r="724" spans="1:10" x14ac:dyDescent="0.3">
      <c r="A724" s="10">
        <v>43525</v>
      </c>
      <c r="B724" t="s">
        <v>47</v>
      </c>
      <c r="C724" s="8">
        <v>2145</v>
      </c>
      <c r="D724" s="7">
        <v>80</v>
      </c>
      <c r="E724" s="8">
        <v>267.97000000000003</v>
      </c>
      <c r="F724" s="8">
        <v>440</v>
      </c>
      <c r="G724" s="8">
        <v>2852.97</v>
      </c>
      <c r="H724" s="8">
        <v>430.43</v>
      </c>
      <c r="I724" s="8">
        <v>3283.4</v>
      </c>
      <c r="J724" s="7">
        <v>100165</v>
      </c>
    </row>
    <row r="725" spans="1:10" x14ac:dyDescent="0.3">
      <c r="A725" s="10">
        <v>43525</v>
      </c>
      <c r="B725" t="s">
        <v>47</v>
      </c>
      <c r="C725" s="8">
        <v>0</v>
      </c>
      <c r="D725" s="7">
        <v>0</v>
      </c>
      <c r="E725" s="8">
        <v>-0.01</v>
      </c>
      <c r="F725" s="8">
        <v>0.01</v>
      </c>
      <c r="G725" s="8">
        <v>0</v>
      </c>
      <c r="H725" s="8">
        <v>0</v>
      </c>
      <c r="I725" s="8">
        <v>0</v>
      </c>
    </row>
    <row r="726" spans="1:10" x14ac:dyDescent="0.3">
      <c r="A726" s="10">
        <v>43539</v>
      </c>
      <c r="B726" t="s">
        <v>47</v>
      </c>
      <c r="C726" s="8">
        <v>0</v>
      </c>
      <c r="D726" s="7">
        <v>0</v>
      </c>
      <c r="E726" s="8">
        <v>-0.01</v>
      </c>
      <c r="F726" s="8">
        <v>0.01</v>
      </c>
      <c r="G726" s="8">
        <v>0</v>
      </c>
      <c r="H726" s="8">
        <v>0</v>
      </c>
      <c r="I726" s="8">
        <v>0</v>
      </c>
    </row>
    <row r="727" spans="1:10" x14ac:dyDescent="0.3">
      <c r="A727" s="10">
        <v>43539</v>
      </c>
      <c r="B727" t="s">
        <v>47</v>
      </c>
      <c r="C727" s="8">
        <v>2750</v>
      </c>
      <c r="D727" s="7">
        <v>80</v>
      </c>
      <c r="E727" s="8">
        <v>577.16</v>
      </c>
      <c r="F727" s="8">
        <v>0</v>
      </c>
      <c r="G727" s="8">
        <v>3327.16</v>
      </c>
      <c r="H727" s="8">
        <v>475.28</v>
      </c>
      <c r="I727" s="8">
        <v>3802.44</v>
      </c>
      <c r="J727" s="7">
        <v>100166</v>
      </c>
    </row>
    <row r="728" spans="1:10" x14ac:dyDescent="0.3">
      <c r="A728" s="10">
        <v>43553</v>
      </c>
      <c r="B728" t="s">
        <v>47</v>
      </c>
      <c r="C728" s="8">
        <v>0</v>
      </c>
      <c r="D728" s="7">
        <v>0</v>
      </c>
      <c r="E728" s="8">
        <v>0</v>
      </c>
      <c r="F728" s="8">
        <v>0</v>
      </c>
      <c r="G728" s="8">
        <v>0</v>
      </c>
      <c r="H728" s="8">
        <v>-35.1</v>
      </c>
      <c r="I728" s="8">
        <v>-35.1</v>
      </c>
    </row>
    <row r="729" spans="1:10" x14ac:dyDescent="0.3">
      <c r="A729" s="10">
        <v>43553</v>
      </c>
      <c r="B729" t="s">
        <v>47</v>
      </c>
      <c r="C729" s="8">
        <v>2024</v>
      </c>
      <c r="D729" s="7">
        <v>80</v>
      </c>
      <c r="E729" s="8">
        <v>506.1</v>
      </c>
      <c r="F729" s="8">
        <v>440</v>
      </c>
      <c r="G729" s="8">
        <v>2970.1</v>
      </c>
      <c r="H729" s="8">
        <v>441.52</v>
      </c>
      <c r="I729" s="8">
        <v>3411.62</v>
      </c>
      <c r="J729" s="7">
        <v>100171</v>
      </c>
    </row>
    <row r="730" spans="1:10" x14ac:dyDescent="0.3">
      <c r="A730" s="10">
        <v>43553</v>
      </c>
      <c r="B730" t="s">
        <v>47</v>
      </c>
      <c r="C730" s="8">
        <v>0</v>
      </c>
      <c r="D730" s="7">
        <v>0</v>
      </c>
      <c r="E730" s="8">
        <v>-0.01</v>
      </c>
      <c r="F730" s="8">
        <v>0.01</v>
      </c>
      <c r="G730" s="8">
        <v>0</v>
      </c>
      <c r="H730" s="8">
        <v>0</v>
      </c>
      <c r="I730" s="8">
        <v>0</v>
      </c>
    </row>
    <row r="731" spans="1:10" x14ac:dyDescent="0.3">
      <c r="A731" s="10">
        <v>43567</v>
      </c>
      <c r="B731" t="s">
        <v>47</v>
      </c>
      <c r="C731" s="8">
        <v>0</v>
      </c>
      <c r="D731" s="7">
        <v>0</v>
      </c>
      <c r="E731" s="8">
        <v>0</v>
      </c>
      <c r="F731" s="8">
        <v>0</v>
      </c>
      <c r="G731" s="8">
        <v>0</v>
      </c>
      <c r="H731" s="8">
        <v>-5.16</v>
      </c>
      <c r="I731" s="8">
        <v>-5.16</v>
      </c>
    </row>
    <row r="732" spans="1:10" x14ac:dyDescent="0.3">
      <c r="A732" s="10">
        <v>43567</v>
      </c>
      <c r="B732" t="s">
        <v>47</v>
      </c>
      <c r="C732" s="8">
        <v>2024</v>
      </c>
      <c r="D732" s="7">
        <v>80</v>
      </c>
      <c r="E732" s="8">
        <v>396.76</v>
      </c>
      <c r="F732" s="8">
        <v>0</v>
      </c>
      <c r="G732" s="8">
        <v>2420.7600000000002</v>
      </c>
      <c r="H732" s="8">
        <v>389.54</v>
      </c>
      <c r="I732" s="8">
        <v>2810.3</v>
      </c>
      <c r="J732" s="7" t="s">
        <v>14</v>
      </c>
    </row>
    <row r="733" spans="1:10" x14ac:dyDescent="0.3">
      <c r="A733" s="10">
        <v>43567</v>
      </c>
      <c r="B733" t="s">
        <v>47</v>
      </c>
      <c r="C733" s="8">
        <v>550</v>
      </c>
      <c r="D733" s="7">
        <v>25</v>
      </c>
      <c r="E733" s="8">
        <v>61.62</v>
      </c>
      <c r="F733" s="8">
        <v>0</v>
      </c>
      <c r="G733" s="8">
        <v>611.62</v>
      </c>
      <c r="H733" s="8">
        <v>108.03</v>
      </c>
      <c r="I733" s="8">
        <v>719.65</v>
      </c>
      <c r="J733" s="7">
        <v>100174</v>
      </c>
    </row>
    <row r="734" spans="1:10" x14ac:dyDescent="0.3">
      <c r="A734" s="10">
        <v>43567</v>
      </c>
      <c r="B734" t="s">
        <v>47</v>
      </c>
      <c r="C734" s="8">
        <v>0</v>
      </c>
      <c r="D734" s="7">
        <v>0</v>
      </c>
      <c r="E734" s="8">
        <v>-0.01</v>
      </c>
      <c r="F734" s="8">
        <v>0.01</v>
      </c>
      <c r="G734" s="8">
        <v>0</v>
      </c>
      <c r="H734" s="8">
        <v>0</v>
      </c>
      <c r="I734" s="8">
        <v>0</v>
      </c>
    </row>
    <row r="735" spans="1:10" x14ac:dyDescent="0.3">
      <c r="A735" s="10">
        <v>43581</v>
      </c>
      <c r="B735" t="s">
        <v>47</v>
      </c>
      <c r="C735" s="8">
        <v>1576</v>
      </c>
      <c r="D735" s="7">
        <v>80</v>
      </c>
      <c r="E735" s="8">
        <v>394.75</v>
      </c>
      <c r="F735" s="8">
        <v>440</v>
      </c>
      <c r="G735" s="8">
        <v>2410.75</v>
      </c>
      <c r="H735" s="8">
        <v>384.49</v>
      </c>
      <c r="I735" s="8">
        <v>2795.24</v>
      </c>
      <c r="J735" s="7" t="s">
        <v>14</v>
      </c>
    </row>
    <row r="736" spans="1:10" x14ac:dyDescent="0.3">
      <c r="A736" s="10">
        <v>43595</v>
      </c>
      <c r="B736" t="s">
        <v>47</v>
      </c>
      <c r="C736" s="8">
        <v>2142</v>
      </c>
      <c r="D736" s="7">
        <v>80</v>
      </c>
      <c r="E736" s="8">
        <v>426.08</v>
      </c>
      <c r="F736" s="8">
        <v>0</v>
      </c>
      <c r="G736" s="8">
        <v>2568.08</v>
      </c>
      <c r="H736" s="8">
        <v>399.11</v>
      </c>
      <c r="I736" s="8">
        <v>2967.19</v>
      </c>
      <c r="J736" s="7" t="s">
        <v>14</v>
      </c>
    </row>
    <row r="737" spans="1:10" x14ac:dyDescent="0.3">
      <c r="A737" s="10">
        <v>43609</v>
      </c>
      <c r="B737" t="s">
        <v>47</v>
      </c>
      <c r="C737" s="8">
        <v>1925</v>
      </c>
      <c r="D737" s="7">
        <v>80</v>
      </c>
      <c r="E737" s="8">
        <v>481.49</v>
      </c>
      <c r="F737" s="8">
        <v>440</v>
      </c>
      <c r="G737" s="8">
        <v>2846.49</v>
      </c>
      <c r="H737" s="8">
        <v>424.98</v>
      </c>
      <c r="I737" s="8">
        <v>3271.47</v>
      </c>
      <c r="J737" s="7" t="s">
        <v>14</v>
      </c>
    </row>
    <row r="738" spans="1:10" x14ac:dyDescent="0.3">
      <c r="A738" s="10">
        <v>43623</v>
      </c>
      <c r="B738" t="s">
        <v>47</v>
      </c>
      <c r="C738" s="8">
        <v>1121</v>
      </c>
      <c r="D738" s="7">
        <v>80</v>
      </c>
      <c r="E738" s="8">
        <v>333.9</v>
      </c>
      <c r="F738" s="8">
        <v>650</v>
      </c>
      <c r="G738" s="8">
        <v>2104.9</v>
      </c>
      <c r="H738" s="8">
        <v>356.09</v>
      </c>
      <c r="I738" s="8">
        <v>2460.9899999999998</v>
      </c>
      <c r="J738" s="7" t="s">
        <v>14</v>
      </c>
    </row>
    <row r="739" spans="1:10" x14ac:dyDescent="0.3">
      <c r="A739" s="10">
        <v>43637</v>
      </c>
      <c r="B739" t="s">
        <v>47</v>
      </c>
      <c r="C739" s="8">
        <v>1506</v>
      </c>
      <c r="D739" s="7">
        <v>80</v>
      </c>
      <c r="E739" s="8">
        <v>417.89</v>
      </c>
      <c r="F739" s="8">
        <v>1090</v>
      </c>
      <c r="G739" s="8">
        <v>3013.89</v>
      </c>
      <c r="H739" s="8">
        <v>440.53</v>
      </c>
      <c r="I739" s="8">
        <v>3454.42</v>
      </c>
      <c r="J739" s="7" t="s">
        <v>14</v>
      </c>
    </row>
    <row r="740" spans="1:10" x14ac:dyDescent="0.3">
      <c r="A740" s="10">
        <v>43651</v>
      </c>
      <c r="B740" t="s">
        <v>47</v>
      </c>
      <c r="C740" s="8">
        <v>4843</v>
      </c>
      <c r="D740" s="7">
        <v>80</v>
      </c>
      <c r="E740" s="8">
        <v>247.18</v>
      </c>
      <c r="F740" s="8">
        <v>0</v>
      </c>
      <c r="G740" s="8">
        <v>5090.18</v>
      </c>
      <c r="H740" s="8">
        <v>401.16</v>
      </c>
      <c r="I740" s="8">
        <v>5491.34</v>
      </c>
      <c r="J740" s="7" t="s">
        <v>14</v>
      </c>
    </row>
    <row r="741" spans="1:10" x14ac:dyDescent="0.3">
      <c r="A741" s="10">
        <v>43665</v>
      </c>
      <c r="B741" t="s">
        <v>47</v>
      </c>
      <c r="C741" s="8">
        <v>2002</v>
      </c>
      <c r="D741" s="7">
        <v>80</v>
      </c>
      <c r="E741" s="8">
        <v>275.64999999999998</v>
      </c>
      <c r="F741" s="8">
        <v>0</v>
      </c>
      <c r="G741" s="8">
        <v>2277.65</v>
      </c>
      <c r="H741" s="8">
        <v>372.15</v>
      </c>
      <c r="I741" s="8">
        <v>2649.8</v>
      </c>
      <c r="J741" s="7" t="s">
        <v>14</v>
      </c>
    </row>
    <row r="742" spans="1:10" x14ac:dyDescent="0.3">
      <c r="A742" s="10">
        <v>43679</v>
      </c>
      <c r="B742" t="s">
        <v>47</v>
      </c>
      <c r="C742" s="8">
        <v>198</v>
      </c>
      <c r="D742" s="7">
        <v>49</v>
      </c>
      <c r="E742" s="8">
        <v>120.76</v>
      </c>
      <c r="F742" s="8">
        <v>879.93</v>
      </c>
      <c r="G742" s="8">
        <v>1198.69</v>
      </c>
      <c r="H742" s="8">
        <v>209.69</v>
      </c>
      <c r="I742" s="8">
        <v>1408.38</v>
      </c>
      <c r="J742" s="7" t="s">
        <v>14</v>
      </c>
    </row>
    <row r="743" spans="1:10" x14ac:dyDescent="0.3">
      <c r="A743" s="10">
        <v>43693</v>
      </c>
      <c r="B743" t="s">
        <v>47</v>
      </c>
      <c r="C743" s="8">
        <v>1762</v>
      </c>
      <c r="D743" s="7">
        <v>80</v>
      </c>
      <c r="E743" s="8">
        <v>409.43</v>
      </c>
      <c r="F743" s="8">
        <v>800</v>
      </c>
      <c r="G743" s="8">
        <v>2971.43</v>
      </c>
      <c r="H743" s="8">
        <v>436.57</v>
      </c>
      <c r="I743" s="8">
        <v>3408</v>
      </c>
      <c r="J743" s="7" t="s">
        <v>14</v>
      </c>
    </row>
    <row r="744" spans="1:10" x14ac:dyDescent="0.3">
      <c r="A744" s="10">
        <v>43693</v>
      </c>
      <c r="B744" t="s">
        <v>47</v>
      </c>
      <c r="C744" s="8">
        <v>400</v>
      </c>
      <c r="D744" s="7">
        <v>0</v>
      </c>
      <c r="E744" s="8">
        <v>34.32</v>
      </c>
      <c r="F744" s="8">
        <v>0</v>
      </c>
      <c r="G744" s="8">
        <v>434.32</v>
      </c>
      <c r="H744" s="8">
        <v>40.35</v>
      </c>
      <c r="I744" s="8">
        <v>474.67</v>
      </c>
      <c r="J744" s="7">
        <v>100182</v>
      </c>
    </row>
    <row r="745" spans="1:10" x14ac:dyDescent="0.3">
      <c r="A745" s="10">
        <v>43707</v>
      </c>
      <c r="B745" t="s">
        <v>47</v>
      </c>
      <c r="C745" s="8">
        <v>2160</v>
      </c>
      <c r="D745" s="7">
        <v>80</v>
      </c>
      <c r="E745" s="8">
        <v>617.66999999999996</v>
      </c>
      <c r="F745" s="8">
        <v>1240</v>
      </c>
      <c r="G745" s="8">
        <v>4017.67</v>
      </c>
      <c r="H745" s="8">
        <v>528.69000000000005</v>
      </c>
      <c r="I745" s="8">
        <v>4546.3599999999997</v>
      </c>
      <c r="J745" s="7" t="s">
        <v>14</v>
      </c>
    </row>
    <row r="746" spans="1:10" x14ac:dyDescent="0.3">
      <c r="A746" s="10">
        <v>43721</v>
      </c>
      <c r="B746" t="s">
        <v>47</v>
      </c>
      <c r="C746" s="8">
        <v>1509</v>
      </c>
      <c r="D746" s="7">
        <v>80</v>
      </c>
      <c r="E746" s="8">
        <v>371.41</v>
      </c>
      <c r="F746" s="8">
        <v>900</v>
      </c>
      <c r="G746" s="8">
        <v>2780.41</v>
      </c>
      <c r="H746" s="8">
        <v>373.24</v>
      </c>
      <c r="I746" s="8">
        <v>3153.65</v>
      </c>
      <c r="J746" s="7" t="s">
        <v>14</v>
      </c>
    </row>
    <row r="747" spans="1:10" x14ac:dyDescent="0.3">
      <c r="A747" s="10">
        <v>43735</v>
      </c>
      <c r="B747" t="s">
        <v>47</v>
      </c>
      <c r="C747" s="8">
        <v>3171</v>
      </c>
      <c r="D747" s="7">
        <v>80</v>
      </c>
      <c r="E747" s="8">
        <v>670.09</v>
      </c>
      <c r="F747" s="8">
        <v>440</v>
      </c>
      <c r="G747" s="8">
        <v>4281.09</v>
      </c>
      <c r="H747" s="8">
        <v>488.04</v>
      </c>
      <c r="I747" s="8">
        <v>4769.13</v>
      </c>
      <c r="J747" s="7" t="s">
        <v>14</v>
      </c>
    </row>
    <row r="748" spans="1:10" x14ac:dyDescent="0.3">
      <c r="A748" s="10">
        <v>43749</v>
      </c>
      <c r="B748" t="s">
        <v>47</v>
      </c>
      <c r="C748" s="8">
        <v>3749</v>
      </c>
      <c r="D748" s="7">
        <v>80</v>
      </c>
      <c r="E748" s="8">
        <v>704.4</v>
      </c>
      <c r="F748" s="8">
        <v>0</v>
      </c>
      <c r="G748" s="8">
        <v>4453.3999999999996</v>
      </c>
      <c r="H748" s="8">
        <v>501.23</v>
      </c>
      <c r="I748" s="8">
        <v>4954.63</v>
      </c>
      <c r="J748" s="7" t="s">
        <v>14</v>
      </c>
    </row>
    <row r="749" spans="1:10" x14ac:dyDescent="0.3">
      <c r="A749" s="10">
        <v>43763</v>
      </c>
      <c r="B749" t="s">
        <v>47</v>
      </c>
      <c r="C749" s="8">
        <v>2541</v>
      </c>
      <c r="D749" s="7">
        <v>80</v>
      </c>
      <c r="E749" s="8">
        <v>404.21</v>
      </c>
      <c r="F749" s="8">
        <v>0</v>
      </c>
      <c r="G749" s="8">
        <v>2945.21</v>
      </c>
      <c r="H749" s="8">
        <v>385.85</v>
      </c>
      <c r="I749" s="8">
        <v>3331.06</v>
      </c>
      <c r="J749" s="7" t="s">
        <v>14</v>
      </c>
    </row>
    <row r="750" spans="1:10" x14ac:dyDescent="0.3">
      <c r="A750" s="10">
        <v>43777</v>
      </c>
      <c r="B750" t="s">
        <v>47</v>
      </c>
      <c r="C750" s="8">
        <v>829</v>
      </c>
      <c r="D750" s="7">
        <v>80</v>
      </c>
      <c r="E750" s="8">
        <v>117.26</v>
      </c>
      <c r="F750" s="8">
        <v>0</v>
      </c>
      <c r="G750" s="8">
        <v>946.26</v>
      </c>
      <c r="H750" s="8">
        <v>232.92</v>
      </c>
      <c r="I750" s="8">
        <v>1179.18</v>
      </c>
      <c r="J750" s="7" t="s">
        <v>14</v>
      </c>
    </row>
    <row r="751" spans="1:10" x14ac:dyDescent="0.3">
      <c r="A751" s="10">
        <v>43791</v>
      </c>
      <c r="B751" t="s">
        <v>47</v>
      </c>
      <c r="C751" s="8">
        <v>3277</v>
      </c>
      <c r="D751" s="7">
        <v>80</v>
      </c>
      <c r="E751" s="8">
        <v>587.11</v>
      </c>
      <c r="F751" s="8">
        <v>0</v>
      </c>
      <c r="G751" s="8">
        <v>3864.11</v>
      </c>
      <c r="H751" s="8">
        <v>456.15</v>
      </c>
      <c r="I751" s="8">
        <v>4320.26</v>
      </c>
      <c r="J751" s="7" t="s">
        <v>14</v>
      </c>
    </row>
    <row r="752" spans="1:10" x14ac:dyDescent="0.3">
      <c r="A752" s="10">
        <v>43805</v>
      </c>
      <c r="B752" t="s">
        <v>47</v>
      </c>
      <c r="C752" s="8">
        <v>2438</v>
      </c>
      <c r="D752" s="7">
        <v>80</v>
      </c>
      <c r="E752" s="8">
        <v>378.62</v>
      </c>
      <c r="F752" s="8">
        <v>0</v>
      </c>
      <c r="G752" s="8">
        <v>2816.62</v>
      </c>
      <c r="H752" s="8">
        <v>376.01</v>
      </c>
      <c r="I752" s="8">
        <v>3192.63</v>
      </c>
      <c r="J752" s="7" t="s">
        <v>14</v>
      </c>
    </row>
    <row r="753" spans="1:10" x14ac:dyDescent="0.3">
      <c r="A753" s="10">
        <v>43816</v>
      </c>
      <c r="B753" t="s">
        <v>47</v>
      </c>
      <c r="C753" s="8">
        <v>3000</v>
      </c>
      <c r="D753" s="7">
        <v>0</v>
      </c>
      <c r="E753" s="8">
        <v>0</v>
      </c>
      <c r="F753" s="8">
        <v>0</v>
      </c>
      <c r="G753" s="8">
        <v>3000</v>
      </c>
      <c r="H753" s="8">
        <v>0</v>
      </c>
      <c r="I753" s="8">
        <v>3000</v>
      </c>
      <c r="J753" s="7">
        <v>100193</v>
      </c>
    </row>
    <row r="754" spans="1:10" x14ac:dyDescent="0.3">
      <c r="A754" s="10">
        <v>43819</v>
      </c>
      <c r="B754" t="s">
        <v>47</v>
      </c>
      <c r="C754" s="8">
        <v>3500</v>
      </c>
      <c r="D754" s="7">
        <v>80</v>
      </c>
      <c r="E754" s="8">
        <v>489.95</v>
      </c>
      <c r="F754" s="8">
        <v>0</v>
      </c>
      <c r="G754" s="8">
        <v>3989.95</v>
      </c>
      <c r="H754" s="8">
        <v>418.81</v>
      </c>
      <c r="I754" s="8">
        <v>4408.76</v>
      </c>
      <c r="J754" s="7" t="s">
        <v>14</v>
      </c>
    </row>
    <row r="755" spans="1:10" x14ac:dyDescent="0.3">
      <c r="A755" s="10">
        <v>43833</v>
      </c>
      <c r="B755" t="s">
        <v>47</v>
      </c>
      <c r="C755" s="8">
        <v>1937</v>
      </c>
      <c r="D755" s="7">
        <v>80</v>
      </c>
      <c r="E755" s="8">
        <v>410.12</v>
      </c>
      <c r="F755" s="8">
        <v>650</v>
      </c>
      <c r="G755" s="8">
        <v>2997.12</v>
      </c>
      <c r="H755" s="8">
        <v>456.95</v>
      </c>
      <c r="I755" s="8">
        <v>3454.07</v>
      </c>
      <c r="J755" s="7" t="s">
        <v>14</v>
      </c>
    </row>
    <row r="756" spans="1:10" x14ac:dyDescent="0.3">
      <c r="A756" s="10">
        <v>43847</v>
      </c>
      <c r="B756" t="s">
        <v>47</v>
      </c>
      <c r="C756" s="8">
        <v>2633</v>
      </c>
      <c r="D756" s="7">
        <v>80</v>
      </c>
      <c r="E756" s="8">
        <v>337.66</v>
      </c>
      <c r="F756" s="8">
        <v>0</v>
      </c>
      <c r="G756" s="8">
        <v>2970.66</v>
      </c>
      <c r="H756" s="8">
        <v>420.96</v>
      </c>
      <c r="I756" s="8">
        <v>3391.62</v>
      </c>
      <c r="J756" s="7" t="s">
        <v>14</v>
      </c>
    </row>
    <row r="757" spans="1:10" x14ac:dyDescent="0.3">
      <c r="A757" s="10">
        <v>43861</v>
      </c>
      <c r="B757" t="s">
        <v>47</v>
      </c>
      <c r="C757" s="8">
        <v>3307</v>
      </c>
      <c r="D757" s="7">
        <v>80</v>
      </c>
      <c r="E757" s="8">
        <v>471.8</v>
      </c>
      <c r="F757" s="8">
        <v>0</v>
      </c>
      <c r="G757" s="8">
        <v>3778.8</v>
      </c>
      <c r="H757" s="8">
        <v>475.97</v>
      </c>
      <c r="I757" s="8">
        <v>4254.7700000000004</v>
      </c>
      <c r="J757" s="7" t="s">
        <v>14</v>
      </c>
    </row>
    <row r="758" spans="1:10" x14ac:dyDescent="0.3">
      <c r="A758" s="10">
        <v>43861</v>
      </c>
      <c r="B758" t="s">
        <v>47</v>
      </c>
      <c r="C758" s="8">
        <v>0</v>
      </c>
      <c r="D758" s="7">
        <v>0</v>
      </c>
      <c r="E758" s="8">
        <v>0</v>
      </c>
      <c r="F758" s="8">
        <v>0</v>
      </c>
      <c r="G758" s="8">
        <v>0</v>
      </c>
      <c r="H758" s="8">
        <v>-170.82</v>
      </c>
      <c r="I758" s="8">
        <v>-170.82</v>
      </c>
    </row>
    <row r="759" spans="1:10" x14ac:dyDescent="0.3">
      <c r="A759" s="10">
        <v>43875</v>
      </c>
      <c r="B759" t="s">
        <v>47</v>
      </c>
      <c r="C759" s="8">
        <v>3197</v>
      </c>
      <c r="D759" s="7">
        <v>80</v>
      </c>
      <c r="E759" s="8">
        <v>441.09</v>
      </c>
      <c r="F759" s="8">
        <v>0</v>
      </c>
      <c r="G759" s="8">
        <v>3638.09</v>
      </c>
      <c r="H759" s="8">
        <v>409.42</v>
      </c>
      <c r="I759" s="8">
        <v>4047.51</v>
      </c>
      <c r="J759" s="7" t="s">
        <v>14</v>
      </c>
    </row>
    <row r="760" spans="1:10" x14ac:dyDescent="0.3">
      <c r="A760" s="10">
        <v>43889</v>
      </c>
      <c r="B760" t="s">
        <v>47</v>
      </c>
      <c r="C760" s="8">
        <v>3312</v>
      </c>
      <c r="D760" s="7">
        <v>80</v>
      </c>
      <c r="E760" s="8">
        <v>463.98</v>
      </c>
      <c r="F760" s="8">
        <v>0</v>
      </c>
      <c r="G760" s="8">
        <v>3775.98</v>
      </c>
      <c r="H760" s="8">
        <v>420.11</v>
      </c>
      <c r="I760" s="8">
        <v>4196.09</v>
      </c>
      <c r="J760" s="7" t="s">
        <v>14</v>
      </c>
    </row>
    <row r="761" spans="1:10" x14ac:dyDescent="0.3">
      <c r="A761" s="10">
        <v>43903</v>
      </c>
      <c r="B761" t="s">
        <v>47</v>
      </c>
      <c r="C761" s="8">
        <v>2403</v>
      </c>
      <c r="D761" s="7">
        <v>80</v>
      </c>
      <c r="E761" s="8">
        <v>285.8</v>
      </c>
      <c r="F761" s="8">
        <v>0</v>
      </c>
      <c r="G761" s="8">
        <v>2688.8</v>
      </c>
      <c r="H761" s="8">
        <v>335.66</v>
      </c>
      <c r="I761" s="8">
        <v>3024.46</v>
      </c>
      <c r="J761" s="7" t="s">
        <v>14</v>
      </c>
    </row>
    <row r="762" spans="1:10" x14ac:dyDescent="0.3">
      <c r="A762" s="10">
        <v>43917</v>
      </c>
      <c r="B762" t="s">
        <v>47</v>
      </c>
      <c r="C762" s="8">
        <v>0</v>
      </c>
      <c r="D762" s="7">
        <v>0</v>
      </c>
      <c r="E762" s="8">
        <v>0</v>
      </c>
      <c r="F762" s="8">
        <v>0</v>
      </c>
      <c r="G762" s="8">
        <v>0</v>
      </c>
      <c r="H762" s="8">
        <v>2.08</v>
      </c>
      <c r="I762" s="8">
        <v>2.08</v>
      </c>
    </row>
    <row r="763" spans="1:10" x14ac:dyDescent="0.3">
      <c r="A763" s="10">
        <v>43917</v>
      </c>
      <c r="B763" t="s">
        <v>47</v>
      </c>
      <c r="C763" s="8">
        <v>0</v>
      </c>
      <c r="D763" s="7">
        <v>0</v>
      </c>
      <c r="E763" s="8">
        <v>0</v>
      </c>
      <c r="F763" s="8">
        <v>0</v>
      </c>
      <c r="G763" s="8">
        <v>0</v>
      </c>
      <c r="H763" s="8">
        <v>-316.36</v>
      </c>
      <c r="I763" s="8">
        <v>-316.36</v>
      </c>
    </row>
    <row r="764" spans="1:10" x14ac:dyDescent="0.3">
      <c r="A764" s="10">
        <v>43917</v>
      </c>
      <c r="B764" t="s">
        <v>47</v>
      </c>
      <c r="C764" s="8">
        <v>0</v>
      </c>
      <c r="D764" s="7">
        <v>0</v>
      </c>
      <c r="E764" s="8">
        <v>0</v>
      </c>
      <c r="F764" s="8">
        <v>0</v>
      </c>
      <c r="G764" s="8">
        <v>0</v>
      </c>
      <c r="H764" s="8">
        <v>242.44</v>
      </c>
      <c r="I764" s="8">
        <v>242.44</v>
      </c>
    </row>
    <row r="765" spans="1:10" x14ac:dyDescent="0.3">
      <c r="A765" s="10">
        <v>43917</v>
      </c>
      <c r="B765" t="s">
        <v>47</v>
      </c>
      <c r="C765" s="8">
        <v>2658.55</v>
      </c>
      <c r="D765" s="7">
        <v>96</v>
      </c>
      <c r="E765" s="8">
        <v>401.45</v>
      </c>
      <c r="F765" s="8">
        <v>0</v>
      </c>
      <c r="G765" s="8">
        <v>3060</v>
      </c>
      <c r="H765" s="8">
        <v>410.24</v>
      </c>
      <c r="I765" s="8">
        <v>3470.24</v>
      </c>
      <c r="J765" s="7" t="s">
        <v>14</v>
      </c>
    </row>
    <row r="766" spans="1:10" x14ac:dyDescent="0.3">
      <c r="A766" s="10">
        <v>43931</v>
      </c>
      <c r="B766" t="s">
        <v>47</v>
      </c>
      <c r="C766" s="8">
        <v>0</v>
      </c>
      <c r="D766" s="7">
        <v>0</v>
      </c>
      <c r="E766" s="8">
        <v>0</v>
      </c>
      <c r="F766" s="8">
        <v>0</v>
      </c>
      <c r="G766" s="8">
        <v>0</v>
      </c>
      <c r="H766" s="8">
        <v>16.84</v>
      </c>
      <c r="I766" s="8">
        <v>16.84</v>
      </c>
    </row>
    <row r="767" spans="1:10" x14ac:dyDescent="0.3">
      <c r="A767" s="10">
        <v>43931</v>
      </c>
      <c r="B767" t="s">
        <v>47</v>
      </c>
      <c r="C767" s="8">
        <v>0</v>
      </c>
      <c r="D767" s="7">
        <v>0</v>
      </c>
      <c r="E767" s="8">
        <v>0</v>
      </c>
      <c r="F767" s="8">
        <v>0</v>
      </c>
      <c r="G767" s="8">
        <v>0</v>
      </c>
      <c r="H767" s="8">
        <v>0.11</v>
      </c>
      <c r="I767" s="8">
        <v>0.11</v>
      </c>
    </row>
    <row r="768" spans="1:10" x14ac:dyDescent="0.3">
      <c r="A768" s="10">
        <v>43931</v>
      </c>
      <c r="B768" t="s">
        <v>47</v>
      </c>
      <c r="C768" s="8">
        <v>1033.07</v>
      </c>
      <c r="D768" s="7">
        <v>40</v>
      </c>
      <c r="E768" s="8">
        <v>106.93</v>
      </c>
      <c r="F768" s="8">
        <v>0</v>
      </c>
      <c r="G768" s="8">
        <v>1140</v>
      </c>
      <c r="H768" s="8">
        <v>162.12</v>
      </c>
      <c r="I768" s="8">
        <v>1302.1199999999999</v>
      </c>
      <c r="J768" s="7" t="s">
        <v>14</v>
      </c>
    </row>
    <row r="769" spans="1:10" x14ac:dyDescent="0.3">
      <c r="A769" s="10">
        <v>43931</v>
      </c>
      <c r="B769" t="s">
        <v>47</v>
      </c>
      <c r="C769" s="8">
        <v>0</v>
      </c>
      <c r="D769" s="7">
        <v>0</v>
      </c>
      <c r="E769" s="8">
        <v>0</v>
      </c>
      <c r="F769" s="8">
        <v>0</v>
      </c>
      <c r="G769" s="8">
        <v>0</v>
      </c>
      <c r="H769" s="8">
        <v>-17.329999999999998</v>
      </c>
      <c r="I769" s="8">
        <v>-17.329999999999998</v>
      </c>
    </row>
    <row r="770" spans="1:10" x14ac:dyDescent="0.3">
      <c r="A770" s="10">
        <v>43945</v>
      </c>
      <c r="B770" t="s">
        <v>47</v>
      </c>
      <c r="C770" s="8">
        <v>500</v>
      </c>
      <c r="D770" s="7">
        <v>19.36</v>
      </c>
      <c r="E770" s="8">
        <v>51.76</v>
      </c>
      <c r="F770" s="8">
        <v>0</v>
      </c>
      <c r="G770" s="8">
        <v>551.76</v>
      </c>
      <c r="H770" s="8">
        <v>78.28</v>
      </c>
      <c r="I770" s="8">
        <v>630.04</v>
      </c>
      <c r="J770" s="7" t="s">
        <v>14</v>
      </c>
    </row>
    <row r="771" spans="1:10" x14ac:dyDescent="0.3">
      <c r="A771" s="10">
        <v>43959</v>
      </c>
      <c r="B771" t="s">
        <v>47</v>
      </c>
      <c r="C771" s="8">
        <v>700.03</v>
      </c>
      <c r="D771" s="7">
        <v>27.11</v>
      </c>
      <c r="E771" s="8">
        <v>72.459999999999994</v>
      </c>
      <c r="F771" s="8">
        <v>0</v>
      </c>
      <c r="G771" s="8">
        <v>772.49</v>
      </c>
      <c r="H771" s="8">
        <v>109.6</v>
      </c>
      <c r="I771" s="8">
        <v>882.09</v>
      </c>
      <c r="J771" s="7" t="s">
        <v>14</v>
      </c>
    </row>
    <row r="772" spans="1:10" x14ac:dyDescent="0.3">
      <c r="A772" s="10">
        <v>43973</v>
      </c>
      <c r="B772" t="s">
        <v>47</v>
      </c>
      <c r="C772" s="8">
        <v>1786.35</v>
      </c>
      <c r="D772" s="7">
        <v>80</v>
      </c>
      <c r="E772" s="8">
        <v>213.65</v>
      </c>
      <c r="F772" s="8">
        <v>0</v>
      </c>
      <c r="G772" s="8">
        <v>2000</v>
      </c>
      <c r="H772" s="8">
        <v>301.69</v>
      </c>
      <c r="I772" s="8">
        <v>2301.69</v>
      </c>
      <c r="J772" s="7" t="s">
        <v>14</v>
      </c>
    </row>
    <row r="773" spans="1:10" x14ac:dyDescent="0.3">
      <c r="A773" s="10">
        <v>43987</v>
      </c>
      <c r="B773" t="s">
        <v>47</v>
      </c>
      <c r="C773" s="8">
        <v>2456.2600000000002</v>
      </c>
      <c r="D773" s="7">
        <v>86.5</v>
      </c>
      <c r="E773" s="8">
        <v>316.62</v>
      </c>
      <c r="F773" s="8">
        <v>0</v>
      </c>
      <c r="G773" s="8">
        <v>2772.88</v>
      </c>
      <c r="H773" s="8">
        <v>356.97</v>
      </c>
      <c r="I773" s="8">
        <v>3129.85</v>
      </c>
      <c r="J773" s="7" t="s">
        <v>14</v>
      </c>
    </row>
    <row r="774" spans="1:10" x14ac:dyDescent="0.3">
      <c r="A774" s="21" t="s">
        <v>15</v>
      </c>
      <c r="B774" s="22" t="str">
        <f>+B773</f>
        <v>Gerardo . Valencia</v>
      </c>
      <c r="C774" s="23">
        <f>SUM(C712:C773)</f>
        <v>93561.260000000009</v>
      </c>
      <c r="D774" s="23">
        <f t="shared" ref="D774:I774" si="31">SUM(D712:D773)</f>
        <v>3140.4700000000003</v>
      </c>
      <c r="E774" s="23">
        <f t="shared" si="31"/>
        <v>15533.779999999999</v>
      </c>
      <c r="F774" s="23">
        <f t="shared" si="31"/>
        <v>10890.000000000002</v>
      </c>
      <c r="G774" s="23">
        <f t="shared" si="31"/>
        <v>119985.04</v>
      </c>
      <c r="H774" s="23">
        <f t="shared" si="31"/>
        <v>15786.69</v>
      </c>
      <c r="I774" s="23">
        <f t="shared" si="31"/>
        <v>135771.72999999998</v>
      </c>
      <c r="J774" s="24"/>
    </row>
    <row r="775" spans="1:10" x14ac:dyDescent="0.3">
      <c r="A775" s="10">
        <v>43819</v>
      </c>
      <c r="B775" t="s">
        <v>48</v>
      </c>
      <c r="C775" s="8">
        <v>1760</v>
      </c>
      <c r="D775" s="7">
        <v>80</v>
      </c>
      <c r="E775" s="8">
        <v>273.13</v>
      </c>
      <c r="F775" s="8">
        <v>50</v>
      </c>
      <c r="G775" s="8">
        <v>2083.13</v>
      </c>
      <c r="H775" s="8">
        <v>366.57</v>
      </c>
      <c r="I775" s="8">
        <v>2449.6999999999998</v>
      </c>
      <c r="J775" s="7" t="s">
        <v>14</v>
      </c>
    </row>
    <row r="776" spans="1:10" x14ac:dyDescent="0.3">
      <c r="A776" s="10">
        <v>43833</v>
      </c>
      <c r="B776" t="s">
        <v>48</v>
      </c>
      <c r="C776" s="8">
        <v>1740</v>
      </c>
      <c r="D776" s="7">
        <v>80</v>
      </c>
      <c r="E776" s="8">
        <v>254.58</v>
      </c>
      <c r="F776" s="8">
        <v>0</v>
      </c>
      <c r="G776" s="8">
        <v>1994.58</v>
      </c>
      <c r="H776" s="8">
        <v>357.8</v>
      </c>
      <c r="I776" s="8">
        <v>2352.38</v>
      </c>
      <c r="J776" s="7" t="s">
        <v>14</v>
      </c>
    </row>
    <row r="777" spans="1:10" x14ac:dyDescent="0.3">
      <c r="A777" s="10">
        <v>43847</v>
      </c>
      <c r="B777" t="s">
        <v>48</v>
      </c>
      <c r="C777" s="8">
        <v>1820</v>
      </c>
      <c r="D777" s="7">
        <v>80</v>
      </c>
      <c r="E777" s="8">
        <v>241.23</v>
      </c>
      <c r="F777" s="8">
        <v>100</v>
      </c>
      <c r="G777" s="8">
        <v>2161.23</v>
      </c>
      <c r="H777" s="8">
        <v>350.43</v>
      </c>
      <c r="I777" s="8">
        <v>2511.66</v>
      </c>
      <c r="J777" s="7" t="s">
        <v>14</v>
      </c>
    </row>
    <row r="778" spans="1:10" x14ac:dyDescent="0.3">
      <c r="A778" s="10">
        <v>43861</v>
      </c>
      <c r="B778" t="s">
        <v>48</v>
      </c>
      <c r="C778" s="8">
        <v>1891</v>
      </c>
      <c r="D778" s="7">
        <v>80</v>
      </c>
      <c r="E778" s="8">
        <v>241.42</v>
      </c>
      <c r="F778" s="8">
        <v>30</v>
      </c>
      <c r="G778" s="8">
        <v>2162.42</v>
      </c>
      <c r="H778" s="8">
        <v>350.53</v>
      </c>
      <c r="I778" s="8">
        <v>2512.9499999999998</v>
      </c>
      <c r="J778" s="7" t="s">
        <v>14</v>
      </c>
    </row>
    <row r="779" spans="1:10" x14ac:dyDescent="0.3">
      <c r="A779" s="10">
        <v>43861</v>
      </c>
      <c r="B779" t="s">
        <v>48</v>
      </c>
      <c r="C779" s="8">
        <v>0</v>
      </c>
      <c r="D779" s="7">
        <v>0</v>
      </c>
      <c r="E779" s="8">
        <v>0</v>
      </c>
      <c r="F779" s="8">
        <v>0</v>
      </c>
      <c r="G779" s="8">
        <v>0</v>
      </c>
      <c r="H779" s="8">
        <v>-170.82</v>
      </c>
      <c r="I779" s="8">
        <v>-170.82</v>
      </c>
    </row>
    <row r="780" spans="1:10" x14ac:dyDescent="0.3">
      <c r="A780" s="10">
        <v>43875</v>
      </c>
      <c r="B780" t="s">
        <v>48</v>
      </c>
      <c r="C780" s="8">
        <v>2045</v>
      </c>
      <c r="D780" s="7">
        <v>80</v>
      </c>
      <c r="E780" s="8">
        <v>263.73</v>
      </c>
      <c r="F780" s="8">
        <v>50</v>
      </c>
      <c r="G780" s="8">
        <v>2358.73</v>
      </c>
      <c r="H780" s="8">
        <v>314.02999999999997</v>
      </c>
      <c r="I780" s="8">
        <v>2672.76</v>
      </c>
      <c r="J780" s="7" t="s">
        <v>14</v>
      </c>
    </row>
    <row r="781" spans="1:10" x14ac:dyDescent="0.3">
      <c r="A781" s="10">
        <v>43889</v>
      </c>
      <c r="B781" t="s">
        <v>48</v>
      </c>
      <c r="C781" s="8">
        <v>2071</v>
      </c>
      <c r="D781" s="7">
        <v>80</v>
      </c>
      <c r="E781" s="8">
        <v>268.39999999999998</v>
      </c>
      <c r="F781" s="8">
        <v>50</v>
      </c>
      <c r="G781" s="8">
        <v>2389.4</v>
      </c>
      <c r="H781" s="8">
        <v>309.45999999999998</v>
      </c>
      <c r="I781" s="8">
        <v>2698.86</v>
      </c>
      <c r="J781" s="7" t="s">
        <v>14</v>
      </c>
    </row>
    <row r="782" spans="1:10" x14ac:dyDescent="0.3">
      <c r="A782" s="10">
        <v>43889</v>
      </c>
      <c r="B782" t="s">
        <v>48</v>
      </c>
      <c r="C782" s="8">
        <v>2000</v>
      </c>
      <c r="D782" s="7">
        <v>0</v>
      </c>
      <c r="E782" s="8">
        <v>213.06</v>
      </c>
      <c r="F782" s="8">
        <v>0</v>
      </c>
      <c r="G782" s="8">
        <v>2213.06</v>
      </c>
      <c r="H782" s="8">
        <v>185.8</v>
      </c>
      <c r="I782" s="8">
        <v>2398.86</v>
      </c>
      <c r="J782" s="7" t="s">
        <v>14</v>
      </c>
    </row>
    <row r="783" spans="1:10" x14ac:dyDescent="0.3">
      <c r="A783" s="10">
        <v>43903</v>
      </c>
      <c r="B783" t="s">
        <v>48</v>
      </c>
      <c r="C783" s="8">
        <v>1934</v>
      </c>
      <c r="D783" s="7">
        <v>80</v>
      </c>
      <c r="E783" s="8">
        <v>243.87</v>
      </c>
      <c r="F783" s="8">
        <v>50</v>
      </c>
      <c r="G783" s="8">
        <v>2227.87</v>
      </c>
      <c r="H783" s="8">
        <v>296.74</v>
      </c>
      <c r="I783" s="8">
        <v>2524.61</v>
      </c>
      <c r="J783" s="7" t="s">
        <v>14</v>
      </c>
    </row>
    <row r="784" spans="1:10" x14ac:dyDescent="0.3">
      <c r="A784" s="10">
        <v>43917</v>
      </c>
      <c r="B784" t="s">
        <v>48</v>
      </c>
      <c r="C784" s="8">
        <v>1839.73</v>
      </c>
      <c r="D784" s="7">
        <v>84</v>
      </c>
      <c r="E784" s="8">
        <v>275.27</v>
      </c>
      <c r="F784" s="8">
        <v>35</v>
      </c>
      <c r="G784" s="8">
        <v>2150</v>
      </c>
      <c r="H784" s="8">
        <v>317.77</v>
      </c>
      <c r="I784" s="8">
        <v>2467.77</v>
      </c>
      <c r="J784" s="7" t="s">
        <v>14</v>
      </c>
    </row>
    <row r="785" spans="1:10" x14ac:dyDescent="0.3">
      <c r="A785" s="10">
        <v>43917</v>
      </c>
      <c r="B785" t="s">
        <v>48</v>
      </c>
      <c r="C785" s="8">
        <v>0</v>
      </c>
      <c r="D785" s="7">
        <v>0</v>
      </c>
      <c r="E785" s="8">
        <v>0</v>
      </c>
      <c r="F785" s="8">
        <v>0</v>
      </c>
      <c r="G785" s="8">
        <v>0</v>
      </c>
      <c r="H785" s="8">
        <v>1.63</v>
      </c>
      <c r="I785" s="8">
        <v>1.63</v>
      </c>
    </row>
    <row r="786" spans="1:10" x14ac:dyDescent="0.3">
      <c r="A786" s="10">
        <v>43917</v>
      </c>
      <c r="B786" t="s">
        <v>48</v>
      </c>
      <c r="C786" s="8">
        <v>0</v>
      </c>
      <c r="D786" s="7">
        <v>0</v>
      </c>
      <c r="E786" s="8">
        <v>0</v>
      </c>
      <c r="F786" s="8">
        <v>0</v>
      </c>
      <c r="G786" s="8">
        <v>0</v>
      </c>
      <c r="H786" s="8">
        <v>-246.02</v>
      </c>
      <c r="I786" s="8">
        <v>-246.02</v>
      </c>
    </row>
    <row r="787" spans="1:10" x14ac:dyDescent="0.3">
      <c r="A787" s="10">
        <v>43917</v>
      </c>
      <c r="B787" t="s">
        <v>48</v>
      </c>
      <c r="C787" s="8">
        <v>0</v>
      </c>
      <c r="D787" s="7">
        <v>0</v>
      </c>
      <c r="E787" s="8">
        <v>0</v>
      </c>
      <c r="F787" s="8">
        <v>0</v>
      </c>
      <c r="G787" s="8">
        <v>0</v>
      </c>
      <c r="H787" s="8">
        <v>237.39</v>
      </c>
      <c r="I787" s="8">
        <v>237.39</v>
      </c>
    </row>
    <row r="788" spans="1:10" x14ac:dyDescent="0.3">
      <c r="A788" s="10">
        <v>43931</v>
      </c>
      <c r="B788" t="s">
        <v>48</v>
      </c>
      <c r="C788" s="8">
        <v>904.13</v>
      </c>
      <c r="D788" s="7">
        <v>40</v>
      </c>
      <c r="E788" s="8">
        <v>95.87</v>
      </c>
      <c r="F788" s="8">
        <v>0</v>
      </c>
      <c r="G788" s="8">
        <v>1000</v>
      </c>
      <c r="H788" s="8">
        <v>149.11000000000001</v>
      </c>
      <c r="I788" s="8">
        <v>1149.1099999999999</v>
      </c>
      <c r="J788" s="7" t="s">
        <v>14</v>
      </c>
    </row>
    <row r="789" spans="1:10" x14ac:dyDescent="0.3">
      <c r="A789" s="10">
        <v>43931</v>
      </c>
      <c r="B789" t="s">
        <v>48</v>
      </c>
      <c r="C789" s="8">
        <v>0</v>
      </c>
      <c r="D789" s="7">
        <v>0</v>
      </c>
      <c r="E789" s="8">
        <v>0</v>
      </c>
      <c r="F789" s="8">
        <v>0</v>
      </c>
      <c r="G789" s="8">
        <v>0</v>
      </c>
      <c r="H789" s="8">
        <v>-15.2</v>
      </c>
      <c r="I789" s="8">
        <v>-15.2</v>
      </c>
    </row>
    <row r="790" spans="1:10" x14ac:dyDescent="0.3">
      <c r="A790" s="10">
        <v>43931</v>
      </c>
      <c r="B790" t="s">
        <v>48</v>
      </c>
      <c r="C790" s="8">
        <v>0</v>
      </c>
      <c r="D790" s="7">
        <v>0</v>
      </c>
      <c r="E790" s="8">
        <v>0</v>
      </c>
      <c r="F790" s="8">
        <v>0</v>
      </c>
      <c r="G790" s="8">
        <v>0</v>
      </c>
      <c r="H790" s="8">
        <v>0.1</v>
      </c>
      <c r="I790" s="8">
        <v>0.1</v>
      </c>
    </row>
    <row r="791" spans="1:10" x14ac:dyDescent="0.3">
      <c r="A791" s="10">
        <v>43931</v>
      </c>
      <c r="B791" t="s">
        <v>48</v>
      </c>
      <c r="C791" s="8">
        <v>0</v>
      </c>
      <c r="D791" s="7">
        <v>0</v>
      </c>
      <c r="E791" s="8">
        <v>0</v>
      </c>
      <c r="F791" s="8">
        <v>0</v>
      </c>
      <c r="G791" s="8">
        <v>0</v>
      </c>
      <c r="H791" s="8">
        <v>16.84</v>
      </c>
      <c r="I791" s="8">
        <v>16.84</v>
      </c>
    </row>
    <row r="792" spans="1:10" x14ac:dyDescent="0.3">
      <c r="A792" s="10">
        <v>43945</v>
      </c>
      <c r="B792" t="s">
        <v>48</v>
      </c>
      <c r="C792" s="8">
        <v>500.22</v>
      </c>
      <c r="D792" s="7">
        <v>22.13</v>
      </c>
      <c r="E792" s="8">
        <v>53.03</v>
      </c>
      <c r="F792" s="8">
        <v>0</v>
      </c>
      <c r="G792" s="8">
        <v>553.25</v>
      </c>
      <c r="H792" s="8">
        <v>83.45</v>
      </c>
      <c r="I792" s="8">
        <v>636.70000000000005</v>
      </c>
      <c r="J792" s="7" t="s">
        <v>14</v>
      </c>
    </row>
    <row r="793" spans="1:10" x14ac:dyDescent="0.3">
      <c r="A793" s="10">
        <v>43959</v>
      </c>
      <c r="B793" t="s">
        <v>48</v>
      </c>
      <c r="C793" s="8">
        <v>700.05</v>
      </c>
      <c r="D793" s="7">
        <v>30.97</v>
      </c>
      <c r="E793" s="8">
        <v>74.23</v>
      </c>
      <c r="F793" s="8">
        <v>0</v>
      </c>
      <c r="G793" s="8">
        <v>774.28</v>
      </c>
      <c r="H793" s="8">
        <v>116.8</v>
      </c>
      <c r="I793" s="8">
        <v>891.08</v>
      </c>
      <c r="J793" s="7" t="s">
        <v>14</v>
      </c>
    </row>
    <row r="794" spans="1:10" x14ac:dyDescent="0.3">
      <c r="A794" s="10">
        <v>43973</v>
      </c>
      <c r="B794" t="s">
        <v>48</v>
      </c>
      <c r="C794" s="8">
        <v>904.13</v>
      </c>
      <c r="D794" s="7">
        <v>40</v>
      </c>
      <c r="E794" s="8">
        <v>95.87</v>
      </c>
      <c r="F794" s="8">
        <v>0</v>
      </c>
      <c r="G794" s="8">
        <v>1000</v>
      </c>
      <c r="H794" s="8">
        <v>150.84</v>
      </c>
      <c r="I794" s="8">
        <v>1150.8399999999999</v>
      </c>
      <c r="J794" s="7" t="s">
        <v>14</v>
      </c>
    </row>
    <row r="795" spans="1:10" x14ac:dyDescent="0.3">
      <c r="A795" s="10">
        <v>43987</v>
      </c>
      <c r="B795" t="s">
        <v>48</v>
      </c>
      <c r="C795" s="8">
        <v>1592.45</v>
      </c>
      <c r="D795" s="7">
        <v>72</v>
      </c>
      <c r="E795" s="8">
        <v>207.55</v>
      </c>
      <c r="F795" s="8">
        <v>0</v>
      </c>
      <c r="G795" s="8">
        <v>1800</v>
      </c>
      <c r="H795" s="8">
        <v>271.52</v>
      </c>
      <c r="I795" s="8">
        <v>2071.52</v>
      </c>
      <c r="J795" s="7" t="s">
        <v>14</v>
      </c>
    </row>
    <row r="796" spans="1:10" x14ac:dyDescent="0.3">
      <c r="A796" s="21" t="s">
        <v>15</v>
      </c>
      <c r="B796" s="22" t="str">
        <f>+B795</f>
        <v>Gerardo Guzman Barragan</v>
      </c>
      <c r="C796" s="23">
        <f>SUM(C775:C795)</f>
        <v>21701.710000000003</v>
      </c>
      <c r="D796" s="23">
        <f t="shared" ref="D796:I796" si="32">SUM(D775:D795)</f>
        <v>849.1</v>
      </c>
      <c r="E796" s="23">
        <f t="shared" si="32"/>
        <v>2801.2400000000002</v>
      </c>
      <c r="F796" s="23">
        <f t="shared" si="32"/>
        <v>365</v>
      </c>
      <c r="G796" s="23">
        <f t="shared" si="32"/>
        <v>24867.949999999997</v>
      </c>
      <c r="H796" s="23">
        <f t="shared" si="32"/>
        <v>3444.7700000000004</v>
      </c>
      <c r="I796" s="23">
        <f t="shared" si="32"/>
        <v>28312.720000000001</v>
      </c>
      <c r="J796" s="24"/>
    </row>
    <row r="797" spans="1:10" x14ac:dyDescent="0.3">
      <c r="A797" s="10">
        <v>43875</v>
      </c>
      <c r="B797" t="s">
        <v>49</v>
      </c>
      <c r="C797" s="8">
        <v>1354</v>
      </c>
      <c r="D797" s="7">
        <v>80</v>
      </c>
      <c r="E797" s="8">
        <v>248.28</v>
      </c>
      <c r="F797" s="8">
        <v>50</v>
      </c>
      <c r="G797" s="8">
        <v>1652.28</v>
      </c>
      <c r="H797" s="8">
        <v>251.27</v>
      </c>
      <c r="I797" s="8">
        <v>1903.55</v>
      </c>
      <c r="J797" s="7" t="s">
        <v>14</v>
      </c>
    </row>
    <row r="798" spans="1:10" x14ac:dyDescent="0.3">
      <c r="A798" s="10">
        <v>43889</v>
      </c>
      <c r="B798" t="s">
        <v>49</v>
      </c>
      <c r="C798" s="8">
        <v>1795</v>
      </c>
      <c r="D798" s="7">
        <v>80</v>
      </c>
      <c r="E798" s="8">
        <v>336.05</v>
      </c>
      <c r="F798" s="8">
        <v>50</v>
      </c>
      <c r="G798" s="8">
        <v>2181.0500000000002</v>
      </c>
      <c r="H798" s="8">
        <v>294.89</v>
      </c>
      <c r="I798" s="8">
        <v>2475.94</v>
      </c>
      <c r="J798" s="7" t="s">
        <v>14</v>
      </c>
    </row>
    <row r="799" spans="1:10" x14ac:dyDescent="0.3">
      <c r="A799" s="10">
        <v>43903</v>
      </c>
      <c r="B799" t="s">
        <v>49</v>
      </c>
      <c r="C799" s="8">
        <v>1606</v>
      </c>
      <c r="D799" s="7">
        <v>80</v>
      </c>
      <c r="E799" s="8">
        <v>298.43</v>
      </c>
      <c r="F799" s="8">
        <v>50</v>
      </c>
      <c r="G799" s="8">
        <v>1954.43</v>
      </c>
      <c r="H799" s="8">
        <v>276.2</v>
      </c>
      <c r="I799" s="8">
        <v>2230.63</v>
      </c>
      <c r="J799" s="7" t="s">
        <v>14</v>
      </c>
    </row>
    <row r="800" spans="1:10" x14ac:dyDescent="0.3">
      <c r="A800" s="10">
        <v>43917</v>
      </c>
      <c r="B800" t="s">
        <v>49</v>
      </c>
      <c r="C800" s="8">
        <v>0</v>
      </c>
      <c r="D800" s="7">
        <v>0</v>
      </c>
      <c r="E800" s="8">
        <v>0</v>
      </c>
      <c r="F800" s="8">
        <v>0</v>
      </c>
      <c r="G800" s="8">
        <v>0</v>
      </c>
      <c r="H800" s="8">
        <v>-101.59</v>
      </c>
      <c r="I800" s="8">
        <v>-101.59</v>
      </c>
    </row>
    <row r="801" spans="1:10" x14ac:dyDescent="0.3">
      <c r="A801" s="10">
        <v>43917</v>
      </c>
      <c r="B801" t="s">
        <v>49</v>
      </c>
      <c r="C801" s="8">
        <v>1453.68</v>
      </c>
      <c r="D801" s="7">
        <v>84.5</v>
      </c>
      <c r="E801" s="8">
        <v>324.7</v>
      </c>
      <c r="F801" s="8">
        <v>0</v>
      </c>
      <c r="G801" s="8">
        <v>1778.38</v>
      </c>
      <c r="H801" s="8">
        <v>294.63</v>
      </c>
      <c r="I801" s="8">
        <v>2073.0100000000002</v>
      </c>
      <c r="J801" s="7" t="s">
        <v>14</v>
      </c>
    </row>
    <row r="802" spans="1:10" x14ac:dyDescent="0.3">
      <c r="A802" s="10">
        <v>43917</v>
      </c>
      <c r="B802" t="s">
        <v>49</v>
      </c>
      <c r="C802" s="8">
        <v>0</v>
      </c>
      <c r="D802" s="7">
        <v>0</v>
      </c>
      <c r="E802" s="8">
        <v>0</v>
      </c>
      <c r="F802" s="8">
        <v>0</v>
      </c>
      <c r="G802" s="8">
        <v>0</v>
      </c>
      <c r="H802" s="8">
        <v>0.67</v>
      </c>
      <c r="I802" s="8">
        <v>0.67</v>
      </c>
    </row>
    <row r="803" spans="1:10" x14ac:dyDescent="0.3">
      <c r="A803" s="10">
        <v>43917</v>
      </c>
      <c r="B803" t="s">
        <v>49</v>
      </c>
      <c r="C803" s="8">
        <v>0</v>
      </c>
      <c r="D803" s="7">
        <v>0</v>
      </c>
      <c r="E803" s="8">
        <v>0</v>
      </c>
      <c r="F803" s="8">
        <v>0</v>
      </c>
      <c r="G803" s="8">
        <v>0</v>
      </c>
      <c r="H803" s="8">
        <v>136.58000000000001</v>
      </c>
      <c r="I803" s="8">
        <v>136.58000000000001</v>
      </c>
    </row>
    <row r="804" spans="1:10" x14ac:dyDescent="0.3">
      <c r="A804" s="10">
        <v>43931</v>
      </c>
      <c r="B804" t="s">
        <v>49</v>
      </c>
      <c r="C804" s="8">
        <v>0</v>
      </c>
      <c r="D804" s="7">
        <v>0</v>
      </c>
      <c r="E804" s="8">
        <v>0</v>
      </c>
      <c r="F804" s="8">
        <v>0</v>
      </c>
      <c r="G804" s="8">
        <v>0</v>
      </c>
      <c r="H804" s="8">
        <v>-12.46</v>
      </c>
      <c r="I804" s="8">
        <v>-12.46</v>
      </c>
    </row>
    <row r="805" spans="1:10" x14ac:dyDescent="0.3">
      <c r="A805" s="10">
        <v>43931</v>
      </c>
      <c r="B805" t="s">
        <v>49</v>
      </c>
      <c r="C805" s="8">
        <v>0</v>
      </c>
      <c r="D805" s="7">
        <v>0</v>
      </c>
      <c r="E805" s="8">
        <v>0</v>
      </c>
      <c r="F805" s="8">
        <v>0</v>
      </c>
      <c r="G805" s="8">
        <v>0</v>
      </c>
      <c r="H805" s="8">
        <v>0.09</v>
      </c>
      <c r="I805" s="8">
        <v>0.09</v>
      </c>
    </row>
    <row r="806" spans="1:10" x14ac:dyDescent="0.3">
      <c r="A806" s="10">
        <v>43931</v>
      </c>
      <c r="B806" t="s">
        <v>49</v>
      </c>
      <c r="C806" s="8">
        <v>704.05</v>
      </c>
      <c r="D806" s="7">
        <v>40</v>
      </c>
      <c r="E806" s="8">
        <v>115.95</v>
      </c>
      <c r="F806" s="8">
        <v>0</v>
      </c>
      <c r="G806" s="8">
        <v>820</v>
      </c>
      <c r="H806" s="8">
        <v>134.28</v>
      </c>
      <c r="I806" s="8">
        <v>954.28</v>
      </c>
      <c r="J806" s="7" t="s">
        <v>14</v>
      </c>
    </row>
    <row r="807" spans="1:10" x14ac:dyDescent="0.3">
      <c r="A807" s="10">
        <v>43931</v>
      </c>
      <c r="B807" t="s">
        <v>49</v>
      </c>
      <c r="C807" s="8">
        <v>0</v>
      </c>
      <c r="D807" s="7">
        <v>0</v>
      </c>
      <c r="E807" s="8">
        <v>0</v>
      </c>
      <c r="F807" s="8">
        <v>0</v>
      </c>
      <c r="G807" s="8">
        <v>0</v>
      </c>
      <c r="H807" s="8">
        <v>16.84</v>
      </c>
      <c r="I807" s="8">
        <v>16.84</v>
      </c>
    </row>
    <row r="808" spans="1:10" x14ac:dyDescent="0.3">
      <c r="A808" s="10">
        <v>43945</v>
      </c>
      <c r="B808" t="s">
        <v>49</v>
      </c>
      <c r="C808" s="8">
        <v>500.1</v>
      </c>
      <c r="D808" s="7">
        <v>27.57</v>
      </c>
      <c r="E808" s="8">
        <v>65.09</v>
      </c>
      <c r="F808" s="8">
        <v>0</v>
      </c>
      <c r="G808" s="8">
        <v>565.19000000000005</v>
      </c>
      <c r="H808" s="8">
        <v>94.32</v>
      </c>
      <c r="I808" s="8">
        <v>659.51</v>
      </c>
      <c r="J808" s="7" t="s">
        <v>14</v>
      </c>
    </row>
    <row r="809" spans="1:10" x14ac:dyDescent="0.3">
      <c r="A809" s="10">
        <v>43959</v>
      </c>
      <c r="B809" t="s">
        <v>49</v>
      </c>
      <c r="C809" s="8">
        <v>700</v>
      </c>
      <c r="D809" s="7">
        <v>39.75</v>
      </c>
      <c r="E809" s="8">
        <v>114.94</v>
      </c>
      <c r="F809" s="8">
        <v>0</v>
      </c>
      <c r="G809" s="8">
        <v>814.94</v>
      </c>
      <c r="H809" s="8">
        <v>135.99</v>
      </c>
      <c r="I809" s="8">
        <v>950.93</v>
      </c>
      <c r="J809" s="7" t="s">
        <v>14</v>
      </c>
    </row>
    <row r="810" spans="1:10" x14ac:dyDescent="0.3">
      <c r="A810" s="10">
        <v>43973</v>
      </c>
      <c r="B810" t="s">
        <v>49</v>
      </c>
      <c r="C810" s="8">
        <v>1344.75</v>
      </c>
      <c r="D810" s="7">
        <v>80</v>
      </c>
      <c r="E810" s="8">
        <v>295.25</v>
      </c>
      <c r="F810" s="8">
        <v>0</v>
      </c>
      <c r="G810" s="8">
        <v>1640</v>
      </c>
      <c r="H810" s="8">
        <v>273.68</v>
      </c>
      <c r="I810" s="8">
        <v>1913.68</v>
      </c>
      <c r="J810" s="7" t="s">
        <v>14</v>
      </c>
    </row>
    <row r="811" spans="1:10" x14ac:dyDescent="0.3">
      <c r="A811" s="10">
        <v>43987</v>
      </c>
      <c r="B811" t="s">
        <v>49</v>
      </c>
      <c r="C811" s="8">
        <v>1878.33</v>
      </c>
      <c r="D811" s="7">
        <v>96.5</v>
      </c>
      <c r="E811" s="8">
        <v>478.55</v>
      </c>
      <c r="F811" s="8">
        <v>0</v>
      </c>
      <c r="G811" s="8">
        <v>2356.88</v>
      </c>
      <c r="H811" s="8">
        <v>359.59</v>
      </c>
      <c r="I811" s="8">
        <v>2716.47</v>
      </c>
      <c r="J811" s="7" t="s">
        <v>14</v>
      </c>
    </row>
    <row r="812" spans="1:10" x14ac:dyDescent="0.3">
      <c r="A812" s="21" t="s">
        <v>15</v>
      </c>
      <c r="B812" s="22" t="str">
        <f>+B811</f>
        <v>Javier A. Alfaro Perez</v>
      </c>
      <c r="C812" s="23">
        <f t="shared" ref="C812:I812" si="33">SUM(C797:C811)</f>
        <v>11335.910000000002</v>
      </c>
      <c r="D812" s="23">
        <f t="shared" si="33"/>
        <v>608.31999999999994</v>
      </c>
      <c r="E812" s="23">
        <f t="shared" si="33"/>
        <v>2277.2400000000002</v>
      </c>
      <c r="F812" s="23">
        <f t="shared" si="33"/>
        <v>150</v>
      </c>
      <c r="G812" s="23">
        <f t="shared" si="33"/>
        <v>13763.150000000001</v>
      </c>
      <c r="H812" s="23">
        <f t="shared" si="33"/>
        <v>2154.9799999999996</v>
      </c>
      <c r="I812" s="23">
        <f t="shared" si="33"/>
        <v>15918.130000000003</v>
      </c>
      <c r="J812" s="24"/>
    </row>
    <row r="813" spans="1:10" x14ac:dyDescent="0.3">
      <c r="A813" s="10">
        <v>43511</v>
      </c>
      <c r="B813" t="s">
        <v>50</v>
      </c>
      <c r="C813" s="8">
        <v>1591</v>
      </c>
      <c r="D813" s="7">
        <v>80</v>
      </c>
      <c r="E813" s="8">
        <v>199.83</v>
      </c>
      <c r="F813" s="8">
        <v>200</v>
      </c>
      <c r="G813" s="8">
        <v>1990.83</v>
      </c>
      <c r="H813" s="8">
        <v>360.82</v>
      </c>
      <c r="I813" s="8">
        <v>2351.65</v>
      </c>
      <c r="J813" s="7">
        <v>100150</v>
      </c>
    </row>
    <row r="814" spans="1:10" x14ac:dyDescent="0.3">
      <c r="A814" s="10">
        <v>43525</v>
      </c>
      <c r="B814" t="s">
        <v>50</v>
      </c>
      <c r="C814" s="8">
        <v>1140</v>
      </c>
      <c r="D814" s="7">
        <v>80</v>
      </c>
      <c r="E814" s="8">
        <v>185.15</v>
      </c>
      <c r="F814" s="8">
        <v>480</v>
      </c>
      <c r="G814" s="8">
        <v>1805.15</v>
      </c>
      <c r="H814" s="8">
        <v>342.14</v>
      </c>
      <c r="I814" s="8">
        <v>2147.29</v>
      </c>
      <c r="J814" s="7">
        <v>100160</v>
      </c>
    </row>
    <row r="815" spans="1:10" x14ac:dyDescent="0.3">
      <c r="A815" s="10">
        <v>43539</v>
      </c>
      <c r="B815" t="s">
        <v>50</v>
      </c>
      <c r="C815" s="8">
        <v>1018</v>
      </c>
      <c r="D815" s="7">
        <v>80</v>
      </c>
      <c r="E815" s="8">
        <v>287.83</v>
      </c>
      <c r="F815" s="8">
        <v>665</v>
      </c>
      <c r="G815" s="8">
        <v>1970.83</v>
      </c>
      <c r="H815" s="8">
        <v>358.8</v>
      </c>
      <c r="I815" s="8">
        <v>2329.63</v>
      </c>
      <c r="J815" s="7" t="s">
        <v>14</v>
      </c>
    </row>
    <row r="816" spans="1:10" x14ac:dyDescent="0.3">
      <c r="A816" s="10">
        <v>43553</v>
      </c>
      <c r="B816" t="s">
        <v>50</v>
      </c>
      <c r="C816" s="8">
        <v>1198</v>
      </c>
      <c r="D816" s="7">
        <v>80</v>
      </c>
      <c r="E816" s="8">
        <v>276.64</v>
      </c>
      <c r="F816" s="8">
        <v>440</v>
      </c>
      <c r="G816" s="8">
        <v>1914.64</v>
      </c>
      <c r="H816" s="8">
        <v>349.06</v>
      </c>
      <c r="I816" s="8">
        <v>2263.6999999999998</v>
      </c>
      <c r="J816" s="7" t="s">
        <v>14</v>
      </c>
    </row>
    <row r="817" spans="1:10" x14ac:dyDescent="0.3">
      <c r="A817" s="10">
        <v>43553</v>
      </c>
      <c r="B817" t="s">
        <v>50</v>
      </c>
      <c r="C817" s="8">
        <v>0</v>
      </c>
      <c r="D817" s="7">
        <v>0</v>
      </c>
      <c r="E817" s="8">
        <v>0</v>
      </c>
      <c r="F817" s="8">
        <v>0</v>
      </c>
      <c r="G817" s="8">
        <v>0</v>
      </c>
      <c r="H817" s="8">
        <v>-13.06</v>
      </c>
      <c r="I817" s="8">
        <v>-13.06</v>
      </c>
    </row>
    <row r="818" spans="1:10" x14ac:dyDescent="0.3">
      <c r="A818" s="10">
        <v>43553</v>
      </c>
      <c r="B818" t="s">
        <v>50</v>
      </c>
      <c r="C818" s="8">
        <v>0</v>
      </c>
      <c r="D818" s="7">
        <v>0</v>
      </c>
      <c r="E818" s="8">
        <v>-0.01</v>
      </c>
      <c r="F818" s="8">
        <v>0.01</v>
      </c>
      <c r="G818" s="8">
        <v>0</v>
      </c>
      <c r="H818" s="8">
        <v>0</v>
      </c>
      <c r="I818" s="8">
        <v>0</v>
      </c>
    </row>
    <row r="819" spans="1:10" x14ac:dyDescent="0.3">
      <c r="A819" s="10">
        <v>43567</v>
      </c>
      <c r="B819" t="s">
        <v>50</v>
      </c>
      <c r="C819" s="8">
        <v>1053</v>
      </c>
      <c r="D819" s="7">
        <v>80</v>
      </c>
      <c r="E819" s="8">
        <v>265.47000000000003</v>
      </c>
      <c r="F819" s="8">
        <v>540</v>
      </c>
      <c r="G819" s="8">
        <v>1858.47</v>
      </c>
      <c r="H819" s="8">
        <v>336.36</v>
      </c>
      <c r="I819" s="8">
        <v>2194.83</v>
      </c>
      <c r="J819" s="7" t="s">
        <v>14</v>
      </c>
    </row>
    <row r="820" spans="1:10" x14ac:dyDescent="0.3">
      <c r="A820" s="10">
        <v>43567</v>
      </c>
      <c r="B820" t="s">
        <v>50</v>
      </c>
      <c r="C820" s="8">
        <v>0</v>
      </c>
      <c r="D820" s="7">
        <v>0</v>
      </c>
      <c r="E820" s="8">
        <v>0</v>
      </c>
      <c r="F820" s="8">
        <v>0</v>
      </c>
      <c r="G820" s="8">
        <v>0</v>
      </c>
      <c r="H820" s="8">
        <v>-3.16</v>
      </c>
      <c r="I820" s="8">
        <v>-3.16</v>
      </c>
    </row>
    <row r="821" spans="1:10" x14ac:dyDescent="0.3">
      <c r="A821" s="10">
        <v>43567</v>
      </c>
      <c r="B821" t="s">
        <v>50</v>
      </c>
      <c r="C821" s="8">
        <v>0</v>
      </c>
      <c r="D821" s="7">
        <v>0</v>
      </c>
      <c r="E821" s="8">
        <v>-0.01</v>
      </c>
      <c r="F821" s="8">
        <v>0.01</v>
      </c>
      <c r="G821" s="8">
        <v>0</v>
      </c>
      <c r="H821" s="8">
        <v>0</v>
      </c>
      <c r="I821" s="8">
        <v>0</v>
      </c>
    </row>
    <row r="822" spans="1:10" x14ac:dyDescent="0.3">
      <c r="A822" s="10">
        <v>43581</v>
      </c>
      <c r="B822" t="s">
        <v>50</v>
      </c>
      <c r="C822" s="8">
        <v>1134</v>
      </c>
      <c r="D822" s="7">
        <v>80</v>
      </c>
      <c r="E822" s="8">
        <v>263.2</v>
      </c>
      <c r="F822" s="8">
        <v>450</v>
      </c>
      <c r="G822" s="8">
        <v>1847.2</v>
      </c>
      <c r="H822" s="8">
        <v>332.13</v>
      </c>
      <c r="I822" s="8">
        <v>2179.33</v>
      </c>
      <c r="J822" s="7" t="s">
        <v>14</v>
      </c>
    </row>
    <row r="823" spans="1:10" x14ac:dyDescent="0.3">
      <c r="A823" s="10">
        <v>43595</v>
      </c>
      <c r="B823" t="s">
        <v>50</v>
      </c>
      <c r="C823" s="8">
        <v>1880</v>
      </c>
      <c r="D823" s="7">
        <v>80</v>
      </c>
      <c r="E823" s="8">
        <v>336.78</v>
      </c>
      <c r="F823" s="8">
        <v>0</v>
      </c>
      <c r="G823" s="8">
        <v>2216.7800000000002</v>
      </c>
      <c r="H823" s="8">
        <v>366.48</v>
      </c>
      <c r="I823" s="8">
        <v>2583.2600000000002</v>
      </c>
      <c r="J823" s="7" t="s">
        <v>14</v>
      </c>
    </row>
    <row r="824" spans="1:10" x14ac:dyDescent="0.3">
      <c r="A824" s="10">
        <v>43609</v>
      </c>
      <c r="B824" t="s">
        <v>50</v>
      </c>
      <c r="C824" s="8">
        <v>1698</v>
      </c>
      <c r="D824" s="7">
        <v>80</v>
      </c>
      <c r="E824" s="8">
        <v>406.34</v>
      </c>
      <c r="F824" s="8">
        <v>462</v>
      </c>
      <c r="G824" s="8">
        <v>2566.34</v>
      </c>
      <c r="H824" s="8">
        <v>398.95</v>
      </c>
      <c r="I824" s="8">
        <v>2965.29</v>
      </c>
      <c r="J824" s="7" t="s">
        <v>14</v>
      </c>
    </row>
    <row r="825" spans="1:10" x14ac:dyDescent="0.3">
      <c r="A825" s="10">
        <v>43623</v>
      </c>
      <c r="B825" t="s">
        <v>50</v>
      </c>
      <c r="C825" s="8">
        <v>1790</v>
      </c>
      <c r="D825" s="7">
        <v>80</v>
      </c>
      <c r="E825" s="8">
        <v>314.39999999999998</v>
      </c>
      <c r="F825" s="8">
        <v>0</v>
      </c>
      <c r="G825" s="8">
        <v>2104.4</v>
      </c>
      <c r="H825" s="8">
        <v>356.04</v>
      </c>
      <c r="I825" s="8">
        <v>2460.44</v>
      </c>
      <c r="J825" s="7" t="s">
        <v>14</v>
      </c>
    </row>
    <row r="826" spans="1:10" x14ac:dyDescent="0.3">
      <c r="A826" s="10">
        <v>43637</v>
      </c>
      <c r="B826" t="s">
        <v>50</v>
      </c>
      <c r="C826" s="8">
        <v>1390</v>
      </c>
      <c r="D826" s="7">
        <v>80</v>
      </c>
      <c r="E826" s="8">
        <v>336.87</v>
      </c>
      <c r="F826" s="8">
        <v>880</v>
      </c>
      <c r="G826" s="8">
        <v>2606.87</v>
      </c>
      <c r="H826" s="8">
        <v>402.71</v>
      </c>
      <c r="I826" s="8">
        <v>3009.58</v>
      </c>
      <c r="J826" s="7" t="s">
        <v>14</v>
      </c>
    </row>
    <row r="827" spans="1:10" x14ac:dyDescent="0.3">
      <c r="A827" s="10">
        <v>43651</v>
      </c>
      <c r="B827" t="s">
        <v>50</v>
      </c>
      <c r="C827" s="8">
        <v>1680</v>
      </c>
      <c r="D827" s="7">
        <v>80</v>
      </c>
      <c r="E827" s="8">
        <v>190.3</v>
      </c>
      <c r="F827" s="8">
        <v>0</v>
      </c>
      <c r="G827" s="8">
        <v>1870.3</v>
      </c>
      <c r="H827" s="8">
        <v>334.29</v>
      </c>
      <c r="I827" s="8">
        <v>2204.59</v>
      </c>
      <c r="J827" s="7" t="s">
        <v>14</v>
      </c>
    </row>
    <row r="828" spans="1:10" x14ac:dyDescent="0.3">
      <c r="A828" s="10">
        <v>43665</v>
      </c>
      <c r="B828" t="s">
        <v>50</v>
      </c>
      <c r="C828" s="8">
        <v>1650</v>
      </c>
      <c r="D828" s="7">
        <v>80</v>
      </c>
      <c r="E828" s="8">
        <v>198.88</v>
      </c>
      <c r="F828" s="8">
        <v>0</v>
      </c>
      <c r="G828" s="8">
        <v>1848.88</v>
      </c>
      <c r="H828" s="8">
        <v>332.3</v>
      </c>
      <c r="I828" s="8">
        <v>2181.1799999999998</v>
      </c>
      <c r="J828" s="7" t="s">
        <v>14</v>
      </c>
    </row>
    <row r="829" spans="1:10" x14ac:dyDescent="0.3">
      <c r="A829" s="10">
        <v>43679</v>
      </c>
      <c r="B829" t="s">
        <v>50</v>
      </c>
      <c r="C829" s="8">
        <v>1010</v>
      </c>
      <c r="D829" s="7">
        <v>80</v>
      </c>
      <c r="E829" s="8">
        <v>251.22</v>
      </c>
      <c r="F829" s="8">
        <v>879.98</v>
      </c>
      <c r="G829" s="8">
        <v>2141.1999999999998</v>
      </c>
      <c r="H829" s="8">
        <v>359.47</v>
      </c>
      <c r="I829" s="8">
        <v>2500.67</v>
      </c>
      <c r="J829" s="7" t="s">
        <v>14</v>
      </c>
    </row>
    <row r="830" spans="1:10" x14ac:dyDescent="0.3">
      <c r="A830" s="10">
        <v>43693</v>
      </c>
      <c r="B830" t="s">
        <v>50</v>
      </c>
      <c r="C830" s="8">
        <v>2200</v>
      </c>
      <c r="D830" s="7">
        <v>80</v>
      </c>
      <c r="E830" s="8">
        <v>319.45999999999998</v>
      </c>
      <c r="F830" s="8">
        <v>0</v>
      </c>
      <c r="G830" s="8">
        <v>2519.46</v>
      </c>
      <c r="H830" s="8">
        <v>394.58</v>
      </c>
      <c r="I830" s="8">
        <v>2914.04</v>
      </c>
      <c r="J830" s="7" t="s">
        <v>14</v>
      </c>
    </row>
    <row r="831" spans="1:10" x14ac:dyDescent="0.3">
      <c r="A831" s="10">
        <v>43707</v>
      </c>
      <c r="B831" t="s">
        <v>50</v>
      </c>
      <c r="C831" s="8">
        <v>930</v>
      </c>
      <c r="D831" s="7">
        <v>80</v>
      </c>
      <c r="E831" s="8">
        <v>233.77</v>
      </c>
      <c r="F831" s="8">
        <v>880</v>
      </c>
      <c r="G831" s="8">
        <v>2043.77</v>
      </c>
      <c r="H831" s="8">
        <v>350.41</v>
      </c>
      <c r="I831" s="8">
        <v>2394.1799999999998</v>
      </c>
      <c r="J831" s="7" t="s">
        <v>14</v>
      </c>
    </row>
    <row r="832" spans="1:10" x14ac:dyDescent="0.3">
      <c r="A832" s="10">
        <v>43721</v>
      </c>
      <c r="B832" t="s">
        <v>50</v>
      </c>
      <c r="C832" s="8">
        <v>1960</v>
      </c>
      <c r="D832" s="7">
        <v>80</v>
      </c>
      <c r="E832" s="8">
        <v>266.48</v>
      </c>
      <c r="F832" s="8">
        <v>0</v>
      </c>
      <c r="G832" s="8">
        <v>2226.48</v>
      </c>
      <c r="H832" s="8">
        <v>367.39</v>
      </c>
      <c r="I832" s="8">
        <v>2593.87</v>
      </c>
      <c r="J832" s="7" t="s">
        <v>14</v>
      </c>
    </row>
    <row r="833" spans="1:10" x14ac:dyDescent="0.3">
      <c r="A833" s="10">
        <v>43735</v>
      </c>
      <c r="B833" t="s">
        <v>50</v>
      </c>
      <c r="C833" s="8">
        <v>2435</v>
      </c>
      <c r="D833" s="7">
        <v>80</v>
      </c>
      <c r="E833" s="8">
        <v>487.21</v>
      </c>
      <c r="F833" s="8">
        <v>440</v>
      </c>
      <c r="G833" s="8">
        <v>3362.21</v>
      </c>
      <c r="H833" s="8">
        <v>472.89</v>
      </c>
      <c r="I833" s="8">
        <v>3835.1</v>
      </c>
      <c r="J833" s="7" t="s">
        <v>14</v>
      </c>
    </row>
    <row r="834" spans="1:10" x14ac:dyDescent="0.3">
      <c r="A834" s="10">
        <v>43749</v>
      </c>
      <c r="B834" t="s">
        <v>50</v>
      </c>
      <c r="C834" s="8">
        <v>2829</v>
      </c>
      <c r="D834" s="7">
        <v>80</v>
      </c>
      <c r="E834" s="8">
        <v>475.77</v>
      </c>
      <c r="F834" s="8">
        <v>0</v>
      </c>
      <c r="G834" s="8">
        <v>3304.77</v>
      </c>
      <c r="H834" s="8">
        <v>467.55</v>
      </c>
      <c r="I834" s="8">
        <v>3772.32</v>
      </c>
      <c r="J834" s="7" t="s">
        <v>14</v>
      </c>
    </row>
    <row r="835" spans="1:10" x14ac:dyDescent="0.3">
      <c r="A835" s="10">
        <v>43763</v>
      </c>
      <c r="B835" t="s">
        <v>50</v>
      </c>
      <c r="C835" s="8">
        <v>2495</v>
      </c>
      <c r="D835" s="7">
        <v>80</v>
      </c>
      <c r="E835" s="8">
        <v>392.78</v>
      </c>
      <c r="F835" s="8">
        <v>0</v>
      </c>
      <c r="G835" s="8">
        <v>2887.78</v>
      </c>
      <c r="H835" s="8">
        <v>428.81</v>
      </c>
      <c r="I835" s="8">
        <v>3316.59</v>
      </c>
      <c r="J835" s="7" t="s">
        <v>14</v>
      </c>
    </row>
    <row r="836" spans="1:10" x14ac:dyDescent="0.3">
      <c r="A836" s="10">
        <v>43777</v>
      </c>
      <c r="B836" t="s">
        <v>50</v>
      </c>
      <c r="C836" s="8">
        <v>2852</v>
      </c>
      <c r="D836" s="7">
        <v>80</v>
      </c>
      <c r="E836" s="8">
        <v>481.5</v>
      </c>
      <c r="F836" s="8">
        <v>0</v>
      </c>
      <c r="G836" s="8">
        <v>3333.5</v>
      </c>
      <c r="H836" s="8">
        <v>470.23</v>
      </c>
      <c r="I836" s="8">
        <v>3803.73</v>
      </c>
      <c r="J836" s="7" t="s">
        <v>14</v>
      </c>
    </row>
    <row r="837" spans="1:10" x14ac:dyDescent="0.3">
      <c r="A837" s="10">
        <v>43791</v>
      </c>
      <c r="B837" t="s">
        <v>50</v>
      </c>
      <c r="C837" s="8">
        <v>2219</v>
      </c>
      <c r="D837" s="7">
        <v>80</v>
      </c>
      <c r="E837" s="8">
        <v>324.19</v>
      </c>
      <c r="F837" s="8">
        <v>0</v>
      </c>
      <c r="G837" s="8">
        <v>2543.19</v>
      </c>
      <c r="H837" s="8">
        <v>396.8</v>
      </c>
      <c r="I837" s="8">
        <v>2939.99</v>
      </c>
      <c r="J837" s="7" t="s">
        <v>14</v>
      </c>
    </row>
    <row r="838" spans="1:10" x14ac:dyDescent="0.3">
      <c r="A838" s="10">
        <v>43805</v>
      </c>
      <c r="B838" t="s">
        <v>50</v>
      </c>
      <c r="C838" s="8">
        <v>1805</v>
      </c>
      <c r="D838" s="7">
        <v>80</v>
      </c>
      <c r="E838" s="8">
        <v>232.69</v>
      </c>
      <c r="F838" s="8">
        <v>0</v>
      </c>
      <c r="G838" s="8">
        <v>2037.69</v>
      </c>
      <c r="H838" s="8">
        <v>330.16</v>
      </c>
      <c r="I838" s="8">
        <v>2367.85</v>
      </c>
      <c r="J838" s="7" t="s">
        <v>14</v>
      </c>
    </row>
    <row r="839" spans="1:10" x14ac:dyDescent="0.3">
      <c r="A839" s="10">
        <v>43819</v>
      </c>
      <c r="B839" t="s">
        <v>50</v>
      </c>
      <c r="C839" s="8">
        <v>2323</v>
      </c>
      <c r="D839" s="7">
        <v>80</v>
      </c>
      <c r="E839" s="8">
        <v>350.03</v>
      </c>
      <c r="F839" s="8">
        <v>0</v>
      </c>
      <c r="G839" s="8">
        <v>2673.03</v>
      </c>
      <c r="H839" s="8">
        <v>365.02</v>
      </c>
      <c r="I839" s="8">
        <v>3038.05</v>
      </c>
      <c r="J839" s="7" t="s">
        <v>14</v>
      </c>
    </row>
    <row r="840" spans="1:10" x14ac:dyDescent="0.3">
      <c r="A840" s="10">
        <v>43833</v>
      </c>
      <c r="B840" t="s">
        <v>50</v>
      </c>
      <c r="C840" s="8">
        <v>2070</v>
      </c>
      <c r="D840" s="7">
        <v>80</v>
      </c>
      <c r="E840" s="8">
        <v>286.26</v>
      </c>
      <c r="F840" s="8">
        <v>0</v>
      </c>
      <c r="G840" s="8">
        <v>2356.2600000000002</v>
      </c>
      <c r="H840" s="8">
        <v>393.58</v>
      </c>
      <c r="I840" s="8">
        <v>2749.84</v>
      </c>
      <c r="J840" s="7" t="s">
        <v>14</v>
      </c>
    </row>
    <row r="841" spans="1:10" x14ac:dyDescent="0.3">
      <c r="A841" s="10">
        <v>43847</v>
      </c>
      <c r="B841" t="s">
        <v>50</v>
      </c>
      <c r="C841" s="8">
        <v>2081</v>
      </c>
      <c r="D841" s="7">
        <v>80</v>
      </c>
      <c r="E841" s="8">
        <v>236.96</v>
      </c>
      <c r="F841" s="8">
        <v>0</v>
      </c>
      <c r="G841" s="8">
        <v>2317.96</v>
      </c>
      <c r="H841" s="8">
        <v>366.34</v>
      </c>
      <c r="I841" s="8">
        <v>2684.3</v>
      </c>
      <c r="J841" s="7" t="s">
        <v>14</v>
      </c>
    </row>
    <row r="842" spans="1:10" x14ac:dyDescent="0.3">
      <c r="A842" s="10">
        <v>43861</v>
      </c>
      <c r="B842" t="s">
        <v>50</v>
      </c>
      <c r="C842" s="8">
        <v>2334</v>
      </c>
      <c r="D842" s="7">
        <v>80</v>
      </c>
      <c r="E842" s="8">
        <v>284.42</v>
      </c>
      <c r="F842" s="8">
        <v>12</v>
      </c>
      <c r="G842" s="8">
        <v>2630.42</v>
      </c>
      <c r="H842" s="8">
        <v>392.57</v>
      </c>
      <c r="I842" s="8">
        <v>3022.99</v>
      </c>
      <c r="J842" s="7" t="s">
        <v>14</v>
      </c>
    </row>
    <row r="843" spans="1:10" x14ac:dyDescent="0.3">
      <c r="A843" s="10">
        <v>43861</v>
      </c>
      <c r="B843" t="s">
        <v>50</v>
      </c>
      <c r="C843" s="8">
        <v>0</v>
      </c>
      <c r="D843" s="7">
        <v>0</v>
      </c>
      <c r="E843" s="8">
        <v>0</v>
      </c>
      <c r="F843" s="8">
        <v>0</v>
      </c>
      <c r="G843" s="8">
        <v>0</v>
      </c>
      <c r="H843" s="8">
        <v>-170.82</v>
      </c>
      <c r="I843" s="8">
        <v>-170.82</v>
      </c>
    </row>
    <row r="844" spans="1:10" x14ac:dyDescent="0.3">
      <c r="A844" s="10">
        <v>43875</v>
      </c>
      <c r="B844" t="s">
        <v>50</v>
      </c>
      <c r="C844" s="8">
        <v>2219</v>
      </c>
      <c r="D844" s="7">
        <v>80</v>
      </c>
      <c r="E844" s="8">
        <v>259.12</v>
      </c>
      <c r="F844" s="8">
        <v>35</v>
      </c>
      <c r="G844" s="8">
        <v>2513.12</v>
      </c>
      <c r="H844" s="8">
        <v>323.11</v>
      </c>
      <c r="I844" s="8">
        <v>2836.23</v>
      </c>
      <c r="J844" s="7" t="s">
        <v>14</v>
      </c>
    </row>
    <row r="845" spans="1:10" x14ac:dyDescent="0.3">
      <c r="A845" s="10">
        <v>43889</v>
      </c>
      <c r="B845" t="s">
        <v>50</v>
      </c>
      <c r="C845" s="8">
        <v>2081</v>
      </c>
      <c r="D845" s="7">
        <v>80</v>
      </c>
      <c r="E845" s="8">
        <v>228.14</v>
      </c>
      <c r="F845" s="8">
        <v>0</v>
      </c>
      <c r="G845" s="8">
        <v>2309.14</v>
      </c>
      <c r="H845" s="8">
        <v>305.75</v>
      </c>
      <c r="I845" s="8">
        <v>2614.89</v>
      </c>
      <c r="J845" s="7" t="s">
        <v>14</v>
      </c>
    </row>
    <row r="846" spans="1:10" x14ac:dyDescent="0.3">
      <c r="A846" s="10">
        <v>43903</v>
      </c>
      <c r="B846" t="s">
        <v>50</v>
      </c>
      <c r="C846" s="8">
        <v>2325</v>
      </c>
      <c r="D846" s="7">
        <v>80</v>
      </c>
      <c r="E846" s="8">
        <v>271.83999999999997</v>
      </c>
      <c r="F846" s="8">
        <v>0</v>
      </c>
      <c r="G846" s="8">
        <v>2596.84</v>
      </c>
      <c r="H846" s="8">
        <v>328.42</v>
      </c>
      <c r="I846" s="8">
        <v>2925.26</v>
      </c>
      <c r="J846" s="7" t="s">
        <v>14</v>
      </c>
    </row>
    <row r="847" spans="1:10" x14ac:dyDescent="0.3">
      <c r="A847" s="10">
        <v>43917</v>
      </c>
      <c r="B847" t="s">
        <v>50</v>
      </c>
      <c r="C847" s="8">
        <v>0</v>
      </c>
      <c r="D847" s="7">
        <v>0</v>
      </c>
      <c r="E847" s="8">
        <v>0</v>
      </c>
      <c r="F847" s="8">
        <v>0</v>
      </c>
      <c r="G847" s="8">
        <v>0</v>
      </c>
      <c r="H847" s="8">
        <v>-237.26</v>
      </c>
      <c r="I847" s="8">
        <v>-237.26</v>
      </c>
    </row>
    <row r="848" spans="1:10" x14ac:dyDescent="0.3">
      <c r="A848" s="10">
        <v>43917</v>
      </c>
      <c r="B848" t="s">
        <v>50</v>
      </c>
      <c r="C848" s="8">
        <v>3624.32</v>
      </c>
      <c r="D848" s="7">
        <v>76</v>
      </c>
      <c r="E848" s="8">
        <v>241.68</v>
      </c>
      <c r="F848" s="8">
        <v>0</v>
      </c>
      <c r="G848" s="8">
        <v>3866</v>
      </c>
      <c r="H848" s="8">
        <v>308.01</v>
      </c>
      <c r="I848" s="8">
        <v>4174.01</v>
      </c>
      <c r="J848" s="7" t="s">
        <v>14</v>
      </c>
    </row>
    <row r="849" spans="1:10" x14ac:dyDescent="0.3">
      <c r="A849" s="10">
        <v>43917</v>
      </c>
      <c r="B849" t="s">
        <v>50</v>
      </c>
      <c r="C849" s="8">
        <v>0</v>
      </c>
      <c r="D849" s="7">
        <v>0</v>
      </c>
      <c r="E849" s="8">
        <v>0</v>
      </c>
      <c r="F849" s="8">
        <v>0</v>
      </c>
      <c r="G849" s="8">
        <v>0</v>
      </c>
      <c r="H849" s="8">
        <v>234.02</v>
      </c>
      <c r="I849" s="8">
        <v>234.02</v>
      </c>
    </row>
    <row r="850" spans="1:10" x14ac:dyDescent="0.3">
      <c r="A850" s="10">
        <v>43917</v>
      </c>
      <c r="B850" t="s">
        <v>50</v>
      </c>
      <c r="C850" s="8">
        <v>0</v>
      </c>
      <c r="D850" s="7">
        <v>0</v>
      </c>
      <c r="E850" s="8">
        <v>0</v>
      </c>
      <c r="F850" s="8">
        <v>0</v>
      </c>
      <c r="G850" s="8">
        <v>0</v>
      </c>
      <c r="H850" s="8">
        <v>1.55</v>
      </c>
      <c r="I850" s="8">
        <v>1.55</v>
      </c>
    </row>
    <row r="851" spans="1:10" x14ac:dyDescent="0.3">
      <c r="A851" s="10">
        <v>43931</v>
      </c>
      <c r="B851" t="s">
        <v>50</v>
      </c>
      <c r="C851" s="8">
        <v>0</v>
      </c>
      <c r="D851" s="7">
        <v>0</v>
      </c>
      <c r="E851" s="8">
        <v>0</v>
      </c>
      <c r="F851" s="8">
        <v>0</v>
      </c>
      <c r="G851" s="8">
        <v>0</v>
      </c>
      <c r="H851" s="8">
        <v>-17.329999999999998</v>
      </c>
      <c r="I851" s="8">
        <v>-17.329999999999998</v>
      </c>
    </row>
    <row r="852" spans="1:10" x14ac:dyDescent="0.3">
      <c r="A852" s="10">
        <v>43931</v>
      </c>
      <c r="B852" t="s">
        <v>50</v>
      </c>
      <c r="C852" s="8">
        <v>1033.07</v>
      </c>
      <c r="D852" s="7">
        <v>40</v>
      </c>
      <c r="E852" s="8">
        <v>106.93</v>
      </c>
      <c r="F852" s="8">
        <v>0</v>
      </c>
      <c r="G852" s="8">
        <v>1140</v>
      </c>
      <c r="H852" s="8">
        <v>162.12</v>
      </c>
      <c r="I852" s="8">
        <v>1302.1199999999999</v>
      </c>
      <c r="J852" s="7" t="s">
        <v>14</v>
      </c>
    </row>
    <row r="853" spans="1:10" x14ac:dyDescent="0.3">
      <c r="A853" s="10">
        <v>43931</v>
      </c>
      <c r="B853" t="s">
        <v>50</v>
      </c>
      <c r="C853" s="8">
        <v>0</v>
      </c>
      <c r="D853" s="7">
        <v>0</v>
      </c>
      <c r="E853" s="8">
        <v>0</v>
      </c>
      <c r="F853" s="8">
        <v>0</v>
      </c>
      <c r="G853" s="8">
        <v>0</v>
      </c>
      <c r="H853" s="8">
        <v>0.11</v>
      </c>
      <c r="I853" s="8">
        <v>0.11</v>
      </c>
    </row>
    <row r="854" spans="1:10" x14ac:dyDescent="0.3">
      <c r="A854" s="10">
        <v>43931</v>
      </c>
      <c r="B854" t="s">
        <v>50</v>
      </c>
      <c r="C854" s="8">
        <v>0</v>
      </c>
      <c r="D854" s="7">
        <v>0</v>
      </c>
      <c r="E854" s="8">
        <v>0</v>
      </c>
      <c r="F854" s="8">
        <v>0</v>
      </c>
      <c r="G854" s="8">
        <v>0</v>
      </c>
      <c r="H854" s="8">
        <v>16.84</v>
      </c>
      <c r="I854" s="8">
        <v>16.84</v>
      </c>
    </row>
    <row r="855" spans="1:10" x14ac:dyDescent="0.3">
      <c r="A855" s="10">
        <v>43945</v>
      </c>
      <c r="B855" t="s">
        <v>50</v>
      </c>
      <c r="C855" s="8">
        <v>500</v>
      </c>
      <c r="D855" s="7">
        <v>19.36</v>
      </c>
      <c r="E855" s="8">
        <v>51.76</v>
      </c>
      <c r="F855" s="8">
        <v>0</v>
      </c>
      <c r="G855" s="8">
        <v>551.76</v>
      </c>
      <c r="H855" s="8">
        <v>78.28</v>
      </c>
      <c r="I855" s="8">
        <v>630.04</v>
      </c>
      <c r="J855" s="7" t="s">
        <v>14</v>
      </c>
    </row>
    <row r="856" spans="1:10" x14ac:dyDescent="0.3">
      <c r="A856" s="10">
        <v>43959</v>
      </c>
      <c r="B856" t="s">
        <v>50</v>
      </c>
      <c r="C856" s="8">
        <v>700.11</v>
      </c>
      <c r="D856" s="7">
        <v>27.11</v>
      </c>
      <c r="E856" s="8">
        <v>72.47</v>
      </c>
      <c r="F856" s="8">
        <v>0</v>
      </c>
      <c r="G856" s="8">
        <v>772.58</v>
      </c>
      <c r="H856" s="8">
        <v>109.61</v>
      </c>
      <c r="I856" s="8">
        <v>882.19</v>
      </c>
      <c r="J856" s="7" t="s">
        <v>14</v>
      </c>
    </row>
    <row r="857" spans="1:10" x14ac:dyDescent="0.3">
      <c r="A857" s="10">
        <v>43973</v>
      </c>
      <c r="B857" t="s">
        <v>50</v>
      </c>
      <c r="C857" s="8">
        <v>1033.07</v>
      </c>
      <c r="D857" s="7">
        <v>40</v>
      </c>
      <c r="E857" s="8">
        <v>106.93</v>
      </c>
      <c r="F857" s="8">
        <v>0</v>
      </c>
      <c r="G857" s="8">
        <v>1140</v>
      </c>
      <c r="H857" s="8">
        <v>161.72999999999999</v>
      </c>
      <c r="I857" s="8">
        <v>1301.73</v>
      </c>
      <c r="J857" s="7" t="s">
        <v>14</v>
      </c>
    </row>
    <row r="858" spans="1:10" x14ac:dyDescent="0.3">
      <c r="A858" s="10">
        <v>43987</v>
      </c>
      <c r="B858" t="s">
        <v>50</v>
      </c>
      <c r="C858" s="8">
        <v>1855.39</v>
      </c>
      <c r="D858" s="7">
        <v>73</v>
      </c>
      <c r="E858" s="8">
        <v>225.11</v>
      </c>
      <c r="F858" s="8">
        <v>0</v>
      </c>
      <c r="G858" s="8">
        <v>2080.5</v>
      </c>
      <c r="H858" s="8">
        <v>295.16000000000003</v>
      </c>
      <c r="I858" s="8">
        <v>2375.66</v>
      </c>
      <c r="J858" s="7" t="s">
        <v>14</v>
      </c>
    </row>
    <row r="859" spans="1:10" x14ac:dyDescent="0.3">
      <c r="A859" s="21" t="s">
        <v>15</v>
      </c>
      <c r="B859" s="22" t="str">
        <f>+B858</f>
        <v>JOSE A. ESTRADA PARRA</v>
      </c>
      <c r="C859" s="23">
        <f>SUM(C813:C858)</f>
        <v>62135.96</v>
      </c>
      <c r="D859" s="23">
        <f t="shared" ref="D859:I859" si="34">SUM(D813:D858)</f>
        <v>2595.4700000000003</v>
      </c>
      <c r="E859" s="23">
        <f t="shared" si="34"/>
        <v>9448.39</v>
      </c>
      <c r="F859" s="23">
        <f t="shared" si="34"/>
        <v>6364</v>
      </c>
      <c r="G859" s="23">
        <f t="shared" si="34"/>
        <v>77948.350000000006</v>
      </c>
      <c r="H859" s="23">
        <f t="shared" si="34"/>
        <v>11708.960000000005</v>
      </c>
      <c r="I859" s="23">
        <f t="shared" si="34"/>
        <v>89657.31</v>
      </c>
      <c r="J859" s="24"/>
    </row>
    <row r="860" spans="1:10" x14ac:dyDescent="0.3">
      <c r="A860" s="10">
        <v>43721</v>
      </c>
      <c r="B860" t="s">
        <v>51</v>
      </c>
      <c r="C860" s="8">
        <v>819</v>
      </c>
      <c r="D860" s="7">
        <v>45</v>
      </c>
      <c r="E860" s="8">
        <v>96.23</v>
      </c>
      <c r="F860" s="8">
        <v>0</v>
      </c>
      <c r="G860" s="8">
        <v>915.23</v>
      </c>
      <c r="H860" s="8">
        <v>180.81</v>
      </c>
      <c r="I860" s="8">
        <v>1096.04</v>
      </c>
      <c r="J860" s="7">
        <v>100183</v>
      </c>
    </row>
    <row r="861" spans="1:10" x14ac:dyDescent="0.3">
      <c r="A861" s="10">
        <v>43724</v>
      </c>
      <c r="B861" t="s">
        <v>51</v>
      </c>
      <c r="C861" s="8">
        <v>1098</v>
      </c>
      <c r="D861" s="7">
        <v>50</v>
      </c>
      <c r="E861" s="8">
        <v>123.07</v>
      </c>
      <c r="F861" s="8">
        <v>0</v>
      </c>
      <c r="G861" s="8">
        <v>1221.07</v>
      </c>
      <c r="H861" s="8">
        <v>221.11</v>
      </c>
      <c r="I861" s="8">
        <v>1442.18</v>
      </c>
      <c r="J861" s="7">
        <v>100184</v>
      </c>
    </row>
    <row r="862" spans="1:10" x14ac:dyDescent="0.3">
      <c r="A862" s="10">
        <v>43735</v>
      </c>
      <c r="B862" t="s">
        <v>51</v>
      </c>
      <c r="C862" s="8">
        <v>2962</v>
      </c>
      <c r="D862" s="7">
        <v>80</v>
      </c>
      <c r="E862" s="8">
        <v>618.16</v>
      </c>
      <c r="F862" s="8">
        <v>440</v>
      </c>
      <c r="G862" s="8">
        <v>4020.16</v>
      </c>
      <c r="H862" s="8">
        <v>558.12</v>
      </c>
      <c r="I862" s="8">
        <v>4578.28</v>
      </c>
      <c r="J862" s="7" t="s">
        <v>14</v>
      </c>
    </row>
    <row r="863" spans="1:10" x14ac:dyDescent="0.3">
      <c r="A863" s="10">
        <v>43749</v>
      </c>
      <c r="B863" t="s">
        <v>51</v>
      </c>
      <c r="C863" s="8">
        <v>2835</v>
      </c>
      <c r="D863" s="7">
        <v>80</v>
      </c>
      <c r="E863" s="8">
        <v>477.27</v>
      </c>
      <c r="F863" s="8">
        <v>0</v>
      </c>
      <c r="G863" s="8">
        <v>3312.27</v>
      </c>
      <c r="H863" s="8">
        <v>473.31</v>
      </c>
      <c r="I863" s="8">
        <v>3785.58</v>
      </c>
      <c r="J863" s="7" t="s">
        <v>14</v>
      </c>
    </row>
    <row r="864" spans="1:10" x14ac:dyDescent="0.3">
      <c r="A864" s="10">
        <v>43763</v>
      </c>
      <c r="B864" t="s">
        <v>51</v>
      </c>
      <c r="C864" s="8">
        <v>1944</v>
      </c>
      <c r="D864" s="7">
        <v>80</v>
      </c>
      <c r="E864" s="8">
        <v>262.98</v>
      </c>
      <c r="F864" s="8">
        <v>0</v>
      </c>
      <c r="G864" s="8">
        <v>2206.98</v>
      </c>
      <c r="H864" s="8">
        <v>365.56</v>
      </c>
      <c r="I864" s="8">
        <v>2572.54</v>
      </c>
      <c r="J864" s="7" t="s">
        <v>14</v>
      </c>
    </row>
    <row r="865" spans="1:10" x14ac:dyDescent="0.3">
      <c r="A865" s="10">
        <v>43777</v>
      </c>
      <c r="B865" t="s">
        <v>51</v>
      </c>
      <c r="C865" s="8">
        <v>2322</v>
      </c>
      <c r="D865" s="7">
        <v>80</v>
      </c>
      <c r="E865" s="8">
        <v>349.8</v>
      </c>
      <c r="F865" s="8">
        <v>0</v>
      </c>
      <c r="G865" s="8">
        <v>2671.8</v>
      </c>
      <c r="H865" s="8">
        <v>408.76</v>
      </c>
      <c r="I865" s="8">
        <v>3080.56</v>
      </c>
      <c r="J865" s="7" t="s">
        <v>14</v>
      </c>
    </row>
    <row r="866" spans="1:10" x14ac:dyDescent="0.3">
      <c r="A866" s="10">
        <v>43791</v>
      </c>
      <c r="B866" t="s">
        <v>51</v>
      </c>
      <c r="C866" s="8">
        <v>2025</v>
      </c>
      <c r="D866" s="7">
        <v>80</v>
      </c>
      <c r="E866" s="8">
        <v>280.64999999999998</v>
      </c>
      <c r="F866" s="8">
        <v>0</v>
      </c>
      <c r="G866" s="8">
        <v>2305.65</v>
      </c>
      <c r="H866" s="8">
        <v>374.73</v>
      </c>
      <c r="I866" s="8">
        <v>2680.38</v>
      </c>
      <c r="J866" s="7" t="s">
        <v>14</v>
      </c>
    </row>
    <row r="867" spans="1:10" x14ac:dyDescent="0.3">
      <c r="A867" s="10">
        <v>43805</v>
      </c>
      <c r="B867" t="s">
        <v>51</v>
      </c>
      <c r="C867" s="8">
        <v>1880</v>
      </c>
      <c r="D867" s="7">
        <v>80</v>
      </c>
      <c r="E867" s="8">
        <v>249.04</v>
      </c>
      <c r="F867" s="8">
        <v>0</v>
      </c>
      <c r="G867" s="8">
        <v>2129.04</v>
      </c>
      <c r="H867" s="8">
        <v>358.33</v>
      </c>
      <c r="I867" s="8">
        <v>2487.37</v>
      </c>
      <c r="J867" s="7" t="s">
        <v>14</v>
      </c>
    </row>
    <row r="868" spans="1:10" x14ac:dyDescent="0.3">
      <c r="A868" s="10">
        <v>43819</v>
      </c>
      <c r="B868" t="s">
        <v>51</v>
      </c>
      <c r="C868" s="8">
        <v>2110</v>
      </c>
      <c r="D868" s="7">
        <v>80</v>
      </c>
      <c r="E868" s="8">
        <v>299.2</v>
      </c>
      <c r="F868" s="8">
        <v>0</v>
      </c>
      <c r="G868" s="8">
        <v>2409.1999999999998</v>
      </c>
      <c r="H868" s="8">
        <v>384.36</v>
      </c>
      <c r="I868" s="8">
        <v>2793.56</v>
      </c>
      <c r="J868" s="7" t="s">
        <v>14</v>
      </c>
    </row>
    <row r="869" spans="1:10" x14ac:dyDescent="0.3">
      <c r="A869" s="10">
        <v>43833</v>
      </c>
      <c r="B869" t="s">
        <v>51</v>
      </c>
      <c r="C869" s="8">
        <v>1750</v>
      </c>
      <c r="D869" s="7">
        <v>80</v>
      </c>
      <c r="E869" s="8">
        <v>216.47</v>
      </c>
      <c r="F869" s="8">
        <v>0</v>
      </c>
      <c r="G869" s="8">
        <v>1966.47</v>
      </c>
      <c r="H869" s="8">
        <v>355.02</v>
      </c>
      <c r="I869" s="8">
        <v>2321.4899999999998</v>
      </c>
      <c r="J869" s="7" t="s">
        <v>14</v>
      </c>
    </row>
    <row r="870" spans="1:10" x14ac:dyDescent="0.3">
      <c r="A870" s="10">
        <v>43847</v>
      </c>
      <c r="B870" t="s">
        <v>51</v>
      </c>
      <c r="C870" s="8">
        <v>1730</v>
      </c>
      <c r="D870" s="7">
        <v>80</v>
      </c>
      <c r="E870" s="8">
        <v>179.22</v>
      </c>
      <c r="F870" s="8">
        <v>0</v>
      </c>
      <c r="G870" s="8">
        <v>1909.22</v>
      </c>
      <c r="H870" s="8">
        <v>331.64</v>
      </c>
      <c r="I870" s="8">
        <v>2240.86</v>
      </c>
      <c r="J870" s="7" t="s">
        <v>14</v>
      </c>
    </row>
    <row r="871" spans="1:10" x14ac:dyDescent="0.3">
      <c r="A871" s="10">
        <v>43861</v>
      </c>
      <c r="B871" t="s">
        <v>51</v>
      </c>
      <c r="C871" s="8">
        <v>0</v>
      </c>
      <c r="D871" s="7">
        <v>0</v>
      </c>
      <c r="E871" s="8">
        <v>0</v>
      </c>
      <c r="F871" s="8">
        <v>0</v>
      </c>
      <c r="G871" s="8">
        <v>0</v>
      </c>
      <c r="H871" s="8">
        <v>-170.82</v>
      </c>
      <c r="I871" s="8">
        <v>-170.82</v>
      </c>
    </row>
    <row r="872" spans="1:10" x14ac:dyDescent="0.3">
      <c r="A872" s="10">
        <v>43861</v>
      </c>
      <c r="B872" t="s">
        <v>51</v>
      </c>
      <c r="C872" s="8">
        <v>2100</v>
      </c>
      <c r="D872" s="7">
        <v>80</v>
      </c>
      <c r="E872" s="8">
        <v>240.37</v>
      </c>
      <c r="F872" s="8">
        <v>0</v>
      </c>
      <c r="G872" s="8">
        <v>2340.37</v>
      </c>
      <c r="H872" s="8">
        <v>368.23</v>
      </c>
      <c r="I872" s="8">
        <v>2708.6</v>
      </c>
      <c r="J872" s="7" t="s">
        <v>14</v>
      </c>
    </row>
    <row r="873" spans="1:10" x14ac:dyDescent="0.3">
      <c r="A873" s="10">
        <v>43875</v>
      </c>
      <c r="B873" t="s">
        <v>51</v>
      </c>
      <c r="C873" s="8">
        <v>1940</v>
      </c>
      <c r="D873" s="7">
        <v>80</v>
      </c>
      <c r="E873" s="8">
        <v>202.91</v>
      </c>
      <c r="F873" s="8">
        <v>0</v>
      </c>
      <c r="G873" s="8">
        <v>2142.91</v>
      </c>
      <c r="H873" s="8">
        <v>299.87</v>
      </c>
      <c r="I873" s="8">
        <v>2442.7800000000002</v>
      </c>
      <c r="J873" s="7" t="s">
        <v>14</v>
      </c>
    </row>
    <row r="874" spans="1:10" x14ac:dyDescent="0.3">
      <c r="A874" s="10">
        <v>43889</v>
      </c>
      <c r="B874" t="s">
        <v>51</v>
      </c>
      <c r="C874" s="8">
        <v>1880</v>
      </c>
      <c r="D874" s="7">
        <v>80</v>
      </c>
      <c r="E874" s="8">
        <v>192.17</v>
      </c>
      <c r="F874" s="8">
        <v>0</v>
      </c>
      <c r="G874" s="8">
        <v>2072.17</v>
      </c>
      <c r="H874" s="8">
        <v>287.08</v>
      </c>
      <c r="I874" s="8">
        <v>2359.25</v>
      </c>
      <c r="J874" s="7" t="s">
        <v>14</v>
      </c>
    </row>
    <row r="875" spans="1:10" x14ac:dyDescent="0.3">
      <c r="A875" s="10">
        <v>43903</v>
      </c>
      <c r="B875" t="s">
        <v>51</v>
      </c>
      <c r="C875" s="8">
        <v>1870</v>
      </c>
      <c r="D875" s="7">
        <v>80</v>
      </c>
      <c r="E875" s="8">
        <v>190.37</v>
      </c>
      <c r="F875" s="8">
        <v>0</v>
      </c>
      <c r="G875" s="8">
        <v>2060.37</v>
      </c>
      <c r="H875" s="8">
        <v>286.13</v>
      </c>
      <c r="I875" s="8">
        <v>2346.5</v>
      </c>
      <c r="J875" s="7" t="s">
        <v>14</v>
      </c>
    </row>
    <row r="876" spans="1:10" x14ac:dyDescent="0.3">
      <c r="A876" s="10">
        <v>43917</v>
      </c>
      <c r="B876" t="s">
        <v>51</v>
      </c>
      <c r="C876" s="8">
        <v>0</v>
      </c>
      <c r="D876" s="7">
        <v>0</v>
      </c>
      <c r="E876" s="8">
        <v>0</v>
      </c>
      <c r="F876" s="8">
        <v>0</v>
      </c>
      <c r="G876" s="8">
        <v>0</v>
      </c>
      <c r="H876" s="8">
        <v>238.23</v>
      </c>
      <c r="I876" s="8">
        <v>238.23</v>
      </c>
    </row>
    <row r="877" spans="1:10" x14ac:dyDescent="0.3">
      <c r="A877" s="10">
        <v>43917</v>
      </c>
      <c r="B877" t="s">
        <v>51</v>
      </c>
      <c r="C877" s="8">
        <v>0</v>
      </c>
      <c r="D877" s="7">
        <v>0</v>
      </c>
      <c r="E877" s="8">
        <v>0</v>
      </c>
      <c r="F877" s="8">
        <v>0</v>
      </c>
      <c r="G877" s="8">
        <v>0</v>
      </c>
      <c r="H877" s="8">
        <v>1.35</v>
      </c>
      <c r="I877" s="8">
        <v>1.35</v>
      </c>
    </row>
    <row r="878" spans="1:10" x14ac:dyDescent="0.3">
      <c r="A878" s="10">
        <v>43917</v>
      </c>
      <c r="B878" t="s">
        <v>51</v>
      </c>
      <c r="C878" s="8">
        <v>0</v>
      </c>
      <c r="D878" s="7">
        <v>0</v>
      </c>
      <c r="E878" s="8">
        <v>0</v>
      </c>
      <c r="F878" s="8">
        <v>0</v>
      </c>
      <c r="G878" s="8">
        <v>0</v>
      </c>
      <c r="H878" s="8">
        <v>-205.03</v>
      </c>
      <c r="I878" s="8">
        <v>-205.03</v>
      </c>
    </row>
    <row r="879" spans="1:10" x14ac:dyDescent="0.3">
      <c r="A879" s="10">
        <v>43917</v>
      </c>
      <c r="B879" t="s">
        <v>51</v>
      </c>
      <c r="C879" s="8">
        <v>1785.86</v>
      </c>
      <c r="D879" s="7">
        <v>86</v>
      </c>
      <c r="E879" s="8">
        <v>216.64</v>
      </c>
      <c r="F879" s="8">
        <v>0</v>
      </c>
      <c r="G879" s="8">
        <v>2002.5</v>
      </c>
      <c r="H879" s="8">
        <v>306.89</v>
      </c>
      <c r="I879" s="8">
        <v>2309.39</v>
      </c>
      <c r="J879" s="7" t="s">
        <v>14</v>
      </c>
    </row>
    <row r="880" spans="1:10" x14ac:dyDescent="0.3">
      <c r="A880" s="10">
        <v>43931</v>
      </c>
      <c r="B880" t="s">
        <v>51</v>
      </c>
      <c r="C880" s="8">
        <v>0</v>
      </c>
      <c r="D880" s="7">
        <v>0</v>
      </c>
      <c r="E880" s="8">
        <v>0</v>
      </c>
      <c r="F880" s="8">
        <v>0</v>
      </c>
      <c r="G880" s="8">
        <v>0</v>
      </c>
      <c r="H880" s="8">
        <v>16.84</v>
      </c>
      <c r="I880" s="8">
        <v>16.84</v>
      </c>
    </row>
    <row r="881" spans="1:10" x14ac:dyDescent="0.3">
      <c r="A881" s="10">
        <v>43931</v>
      </c>
      <c r="B881" t="s">
        <v>51</v>
      </c>
      <c r="C881" s="8">
        <v>812.03</v>
      </c>
      <c r="D881" s="7">
        <v>40</v>
      </c>
      <c r="E881" s="8">
        <v>87.97</v>
      </c>
      <c r="F881" s="8">
        <v>0</v>
      </c>
      <c r="G881" s="8">
        <v>900</v>
      </c>
      <c r="H881" s="8">
        <v>139.82</v>
      </c>
      <c r="I881" s="8">
        <v>1039.82</v>
      </c>
      <c r="J881" s="7" t="s">
        <v>14</v>
      </c>
    </row>
    <row r="882" spans="1:10" x14ac:dyDescent="0.3">
      <c r="A882" s="10">
        <v>43931</v>
      </c>
      <c r="B882" t="s">
        <v>51</v>
      </c>
      <c r="C882" s="8">
        <v>0</v>
      </c>
      <c r="D882" s="7">
        <v>0</v>
      </c>
      <c r="E882" s="8">
        <v>0</v>
      </c>
      <c r="F882" s="8">
        <v>0</v>
      </c>
      <c r="G882" s="8">
        <v>0</v>
      </c>
      <c r="H882" s="8">
        <v>-13.68</v>
      </c>
      <c r="I882" s="8">
        <v>-13.68</v>
      </c>
    </row>
    <row r="883" spans="1:10" x14ac:dyDescent="0.3">
      <c r="A883" s="10">
        <v>43931</v>
      </c>
      <c r="B883" t="s">
        <v>51</v>
      </c>
      <c r="C883" s="8">
        <v>0</v>
      </c>
      <c r="D883" s="7">
        <v>0</v>
      </c>
      <c r="E883" s="8">
        <v>0</v>
      </c>
      <c r="F883" s="8">
        <v>0</v>
      </c>
      <c r="G883" s="8">
        <v>0</v>
      </c>
      <c r="H883" s="8">
        <v>0.09</v>
      </c>
      <c r="I883" s="8">
        <v>0.09</v>
      </c>
    </row>
    <row r="884" spans="1:10" x14ac:dyDescent="0.3">
      <c r="A884" s="10">
        <v>43945</v>
      </c>
      <c r="B884" t="s">
        <v>51</v>
      </c>
      <c r="C884" s="8">
        <v>500.01</v>
      </c>
      <c r="D884" s="7">
        <v>24.63</v>
      </c>
      <c r="E884" s="8">
        <v>54.17</v>
      </c>
      <c r="F884" s="8">
        <v>0</v>
      </c>
      <c r="G884" s="8">
        <v>554.17999999999995</v>
      </c>
      <c r="H884" s="8">
        <v>88.1</v>
      </c>
      <c r="I884" s="8">
        <v>642.28</v>
      </c>
      <c r="J884" s="7" t="s">
        <v>14</v>
      </c>
    </row>
    <row r="885" spans="1:10" x14ac:dyDescent="0.3">
      <c r="A885" s="10">
        <v>43959</v>
      </c>
      <c r="B885" t="s">
        <v>51</v>
      </c>
      <c r="C885" s="8">
        <v>700.4</v>
      </c>
      <c r="D885" s="7">
        <v>34.5</v>
      </c>
      <c r="E885" s="8">
        <v>75.849999999999994</v>
      </c>
      <c r="F885" s="8">
        <v>0</v>
      </c>
      <c r="G885" s="8">
        <v>776.25</v>
      </c>
      <c r="H885" s="8">
        <v>123.38</v>
      </c>
      <c r="I885" s="8">
        <v>899.63</v>
      </c>
      <c r="J885" s="7" t="s">
        <v>14</v>
      </c>
    </row>
    <row r="886" spans="1:10" x14ac:dyDescent="0.3">
      <c r="A886" s="10">
        <v>43973</v>
      </c>
      <c r="B886" t="s">
        <v>51</v>
      </c>
      <c r="C886" s="8">
        <v>300</v>
      </c>
      <c r="D886" s="7">
        <v>14.78</v>
      </c>
      <c r="E886" s="8">
        <v>32.5</v>
      </c>
      <c r="F886" s="8">
        <v>0</v>
      </c>
      <c r="G886" s="8">
        <v>332.5</v>
      </c>
      <c r="H886" s="8">
        <v>52.86</v>
      </c>
      <c r="I886" s="8">
        <v>385.36</v>
      </c>
      <c r="J886" s="7" t="s">
        <v>14</v>
      </c>
    </row>
    <row r="887" spans="1:10" x14ac:dyDescent="0.3">
      <c r="A887" s="10">
        <v>43987</v>
      </c>
      <c r="B887" t="s">
        <v>51</v>
      </c>
      <c r="C887" s="8">
        <v>649.63</v>
      </c>
      <c r="D887" s="7">
        <v>32</v>
      </c>
      <c r="E887" s="8">
        <v>70.37</v>
      </c>
      <c r="F887" s="8">
        <v>0</v>
      </c>
      <c r="G887" s="8">
        <v>720</v>
      </c>
      <c r="H887" s="8">
        <v>114.46</v>
      </c>
      <c r="I887" s="8">
        <v>834.46</v>
      </c>
      <c r="J887" s="7" t="s">
        <v>14</v>
      </c>
    </row>
    <row r="888" spans="1:10" x14ac:dyDescent="0.3">
      <c r="A888" s="21" t="s">
        <v>15</v>
      </c>
      <c r="B888" s="22" t="str">
        <f>+B887</f>
        <v>Jose Acosta Caballero</v>
      </c>
      <c r="C888" s="23">
        <f>SUM(C860:C887)</f>
        <v>34012.929999999993</v>
      </c>
      <c r="D888" s="23">
        <f t="shared" ref="D888:I888" si="35">SUM(D860:D887)</f>
        <v>1366.91</v>
      </c>
      <c r="E888" s="23">
        <f t="shared" si="35"/>
        <v>4515.41</v>
      </c>
      <c r="F888" s="23">
        <f t="shared" si="35"/>
        <v>440</v>
      </c>
      <c r="G888" s="23">
        <f t="shared" si="35"/>
        <v>38968.340000000004</v>
      </c>
      <c r="H888" s="23">
        <f t="shared" si="35"/>
        <v>5945.55</v>
      </c>
      <c r="I888" s="23">
        <f t="shared" si="35"/>
        <v>44913.889999999992</v>
      </c>
      <c r="J888" s="24"/>
    </row>
    <row r="889" spans="1:10" x14ac:dyDescent="0.3">
      <c r="A889" s="10">
        <v>43889</v>
      </c>
      <c r="B889" t="s">
        <v>52</v>
      </c>
      <c r="C889" s="8">
        <v>1665</v>
      </c>
      <c r="D889" s="7">
        <v>80</v>
      </c>
      <c r="E889" s="8">
        <v>165.25</v>
      </c>
      <c r="F889" s="8">
        <v>0</v>
      </c>
      <c r="G889" s="8">
        <v>1830.25</v>
      </c>
      <c r="H889" s="8">
        <v>277.08</v>
      </c>
      <c r="I889" s="8">
        <v>2107.33</v>
      </c>
      <c r="J889" s="7">
        <v>100197</v>
      </c>
    </row>
    <row r="890" spans="1:10" x14ac:dyDescent="0.3">
      <c r="A890" s="10">
        <v>43903</v>
      </c>
      <c r="B890" t="s">
        <v>52</v>
      </c>
      <c r="C890" s="8">
        <v>1656</v>
      </c>
      <c r="D890" s="7">
        <v>80</v>
      </c>
      <c r="E890" s="8">
        <v>164.54</v>
      </c>
      <c r="F890" s="8">
        <v>0</v>
      </c>
      <c r="G890" s="8">
        <v>1820.54</v>
      </c>
      <c r="H890" s="8">
        <v>276.2</v>
      </c>
      <c r="I890" s="8">
        <v>2096.7399999999998</v>
      </c>
      <c r="J890" s="7">
        <v>100201</v>
      </c>
    </row>
    <row r="891" spans="1:10" x14ac:dyDescent="0.3">
      <c r="A891" s="10">
        <v>43917</v>
      </c>
      <c r="B891" t="s">
        <v>52</v>
      </c>
      <c r="C891" s="8">
        <v>0</v>
      </c>
      <c r="D891" s="7">
        <v>0</v>
      </c>
      <c r="E891" s="8">
        <v>0</v>
      </c>
      <c r="F891" s="8">
        <v>0</v>
      </c>
      <c r="G891" s="8">
        <v>0</v>
      </c>
      <c r="H891" s="8">
        <v>-77.75</v>
      </c>
      <c r="I891" s="8">
        <v>-77.75</v>
      </c>
    </row>
    <row r="892" spans="1:10" x14ac:dyDescent="0.3">
      <c r="A892" s="10">
        <v>43917</v>
      </c>
      <c r="B892" t="s">
        <v>52</v>
      </c>
      <c r="C892" s="8">
        <v>1616.21</v>
      </c>
      <c r="D892" s="7">
        <v>85</v>
      </c>
      <c r="E892" s="8">
        <v>177.54</v>
      </c>
      <c r="F892" s="8">
        <v>0</v>
      </c>
      <c r="G892" s="8">
        <v>1793.75</v>
      </c>
      <c r="H892" s="8">
        <v>296.83999999999997</v>
      </c>
      <c r="I892" s="8">
        <v>2090.59</v>
      </c>
      <c r="J892" s="7">
        <v>100204</v>
      </c>
    </row>
    <row r="893" spans="1:10" x14ac:dyDescent="0.3">
      <c r="A893" s="10">
        <v>43917</v>
      </c>
      <c r="B893" t="s">
        <v>52</v>
      </c>
      <c r="C893" s="8">
        <v>0</v>
      </c>
      <c r="D893" s="7">
        <v>0</v>
      </c>
      <c r="E893" s="8">
        <v>0</v>
      </c>
      <c r="F893" s="8">
        <v>0</v>
      </c>
      <c r="G893" s="8">
        <v>0</v>
      </c>
      <c r="H893" s="8">
        <v>103.12</v>
      </c>
      <c r="I893" s="8">
        <v>103.12</v>
      </c>
    </row>
    <row r="894" spans="1:10" x14ac:dyDescent="0.3">
      <c r="A894" s="10">
        <v>43917</v>
      </c>
      <c r="B894" t="s">
        <v>52</v>
      </c>
      <c r="C894" s="8">
        <v>0</v>
      </c>
      <c r="D894" s="7">
        <v>0</v>
      </c>
      <c r="E894" s="8">
        <v>0</v>
      </c>
      <c r="F894" s="8">
        <v>0</v>
      </c>
      <c r="G894" s="8">
        <v>0</v>
      </c>
      <c r="H894" s="8">
        <v>0.51</v>
      </c>
      <c r="I894" s="8">
        <v>0.51</v>
      </c>
    </row>
    <row r="895" spans="1:10" x14ac:dyDescent="0.3">
      <c r="A895" s="10">
        <v>43931</v>
      </c>
      <c r="B895" t="s">
        <v>52</v>
      </c>
      <c r="C895" s="8">
        <v>0</v>
      </c>
      <c r="D895" s="7">
        <v>0</v>
      </c>
      <c r="E895" s="8">
        <v>0</v>
      </c>
      <c r="F895" s="8">
        <v>0</v>
      </c>
      <c r="G895" s="8">
        <v>0</v>
      </c>
      <c r="H895" s="8">
        <v>-12.46</v>
      </c>
      <c r="I895" s="8">
        <v>-12.46</v>
      </c>
    </row>
    <row r="896" spans="1:10" x14ac:dyDescent="0.3">
      <c r="A896" s="10">
        <v>43931</v>
      </c>
      <c r="B896" t="s">
        <v>52</v>
      </c>
      <c r="C896" s="8">
        <v>738.36</v>
      </c>
      <c r="D896" s="7">
        <v>40</v>
      </c>
      <c r="E896" s="8">
        <v>81.64</v>
      </c>
      <c r="F896" s="8">
        <v>0</v>
      </c>
      <c r="G896" s="8">
        <v>820</v>
      </c>
      <c r="H896" s="8">
        <v>137.30000000000001</v>
      </c>
      <c r="I896" s="8">
        <v>957.3</v>
      </c>
      <c r="J896" s="7">
        <v>100207</v>
      </c>
    </row>
    <row r="897" spans="1:10" x14ac:dyDescent="0.3">
      <c r="A897" s="10">
        <v>43931</v>
      </c>
      <c r="B897" t="s">
        <v>52</v>
      </c>
      <c r="C897" s="8">
        <v>0</v>
      </c>
      <c r="D897" s="7">
        <v>0</v>
      </c>
      <c r="E897" s="8">
        <v>0</v>
      </c>
      <c r="F897" s="8">
        <v>0</v>
      </c>
      <c r="G897" s="8">
        <v>0</v>
      </c>
      <c r="H897" s="8">
        <v>16.84</v>
      </c>
      <c r="I897" s="8">
        <v>16.84</v>
      </c>
    </row>
    <row r="898" spans="1:10" x14ac:dyDescent="0.3">
      <c r="A898" s="10">
        <v>43931</v>
      </c>
      <c r="B898" t="s">
        <v>52</v>
      </c>
      <c r="C898" s="8">
        <v>0</v>
      </c>
      <c r="D898" s="7">
        <v>0</v>
      </c>
      <c r="E898" s="8">
        <v>0</v>
      </c>
      <c r="F898" s="8">
        <v>0</v>
      </c>
      <c r="G898" s="8">
        <v>0</v>
      </c>
      <c r="H898" s="8">
        <v>0.09</v>
      </c>
      <c r="I898" s="8">
        <v>0.09</v>
      </c>
    </row>
    <row r="899" spans="1:10" x14ac:dyDescent="0.3">
      <c r="A899" s="10">
        <v>43945</v>
      </c>
      <c r="B899" t="s">
        <v>52</v>
      </c>
      <c r="C899" s="8">
        <v>500.04</v>
      </c>
      <c r="D899" s="7">
        <v>27.09</v>
      </c>
      <c r="E899" s="8">
        <v>55.31</v>
      </c>
      <c r="F899" s="8">
        <v>0</v>
      </c>
      <c r="G899" s="8">
        <v>555.35</v>
      </c>
      <c r="H899" s="8">
        <v>96.03</v>
      </c>
      <c r="I899" s="8">
        <v>651.38</v>
      </c>
      <c r="J899" s="7">
        <v>100210</v>
      </c>
    </row>
    <row r="900" spans="1:10" x14ac:dyDescent="0.3">
      <c r="A900" s="10">
        <v>43959</v>
      </c>
      <c r="B900" t="s">
        <v>52</v>
      </c>
      <c r="C900" s="8">
        <v>700.06</v>
      </c>
      <c r="D900" s="7">
        <v>37.92</v>
      </c>
      <c r="E900" s="8">
        <v>77.400000000000006</v>
      </c>
      <c r="F900" s="8">
        <v>0</v>
      </c>
      <c r="G900" s="8">
        <v>777.46</v>
      </c>
      <c r="H900" s="8">
        <v>132.78</v>
      </c>
      <c r="I900" s="8">
        <v>910.24</v>
      </c>
      <c r="J900" s="7">
        <v>100214</v>
      </c>
    </row>
    <row r="901" spans="1:10" x14ac:dyDescent="0.3">
      <c r="A901" s="10">
        <v>43973</v>
      </c>
      <c r="B901" t="s">
        <v>52</v>
      </c>
      <c r="C901" s="8">
        <v>1476.72</v>
      </c>
      <c r="D901" s="7">
        <v>80</v>
      </c>
      <c r="E901" s="8">
        <v>163.28</v>
      </c>
      <c r="F901" s="8">
        <v>0</v>
      </c>
      <c r="G901" s="8">
        <v>1640</v>
      </c>
      <c r="H901" s="8">
        <v>273.68</v>
      </c>
      <c r="I901" s="8">
        <v>1913.68</v>
      </c>
      <c r="J901" s="7">
        <v>100217</v>
      </c>
    </row>
    <row r="902" spans="1:10" x14ac:dyDescent="0.3">
      <c r="A902" s="10">
        <v>43987</v>
      </c>
      <c r="B902" t="s">
        <v>52</v>
      </c>
      <c r="C902" s="8">
        <v>2114.66</v>
      </c>
      <c r="D902" s="7">
        <v>96</v>
      </c>
      <c r="E902" s="8">
        <v>225.34</v>
      </c>
      <c r="F902" s="8">
        <v>0</v>
      </c>
      <c r="G902" s="8">
        <v>2340</v>
      </c>
      <c r="H902" s="8">
        <v>357.36</v>
      </c>
      <c r="I902" s="8">
        <v>2697.36</v>
      </c>
      <c r="J902" s="7">
        <v>100220</v>
      </c>
    </row>
    <row r="903" spans="1:10" x14ac:dyDescent="0.3">
      <c r="A903" s="21" t="s">
        <v>15</v>
      </c>
      <c r="B903" s="22" t="str">
        <f>+B902</f>
        <v>Jose R. Alvarez Rodriguez</v>
      </c>
      <c r="C903" s="23">
        <f>SUM(C889:C902)</f>
        <v>10467.049999999999</v>
      </c>
      <c r="D903" s="23">
        <f t="shared" ref="D903:I903" si="36">SUM(D889:D902)</f>
        <v>526.01</v>
      </c>
      <c r="E903" s="23">
        <f t="shared" si="36"/>
        <v>1110.3</v>
      </c>
      <c r="F903" s="23">
        <f t="shared" si="36"/>
        <v>0</v>
      </c>
      <c r="G903" s="23">
        <f t="shared" si="36"/>
        <v>11577.35</v>
      </c>
      <c r="H903" s="23">
        <f t="shared" si="36"/>
        <v>1877.62</v>
      </c>
      <c r="I903" s="23">
        <f t="shared" si="36"/>
        <v>13454.970000000001</v>
      </c>
      <c r="J903" s="24"/>
    </row>
    <row r="904" spans="1:10" x14ac:dyDescent="0.3">
      <c r="A904" s="10">
        <v>43875</v>
      </c>
      <c r="B904" t="s">
        <v>53</v>
      </c>
      <c r="C904" s="8">
        <v>612</v>
      </c>
      <c r="D904" s="7">
        <v>34</v>
      </c>
      <c r="E904" s="8">
        <v>76.180000000000007</v>
      </c>
      <c r="F904" s="8">
        <v>0</v>
      </c>
      <c r="G904" s="8">
        <v>688.18</v>
      </c>
      <c r="H904" s="8">
        <v>108.29</v>
      </c>
      <c r="I904" s="8">
        <v>796.47</v>
      </c>
      <c r="J904" s="7">
        <v>100195</v>
      </c>
    </row>
    <row r="905" spans="1:10" x14ac:dyDescent="0.3">
      <c r="A905" s="10">
        <v>43889</v>
      </c>
      <c r="B905" t="s">
        <v>53</v>
      </c>
      <c r="C905" s="8">
        <v>1669</v>
      </c>
      <c r="D905" s="7">
        <v>80</v>
      </c>
      <c r="E905" s="8">
        <v>310.98</v>
      </c>
      <c r="F905" s="8">
        <v>50</v>
      </c>
      <c r="G905" s="8">
        <v>2029.98</v>
      </c>
      <c r="H905" s="8">
        <v>282.44</v>
      </c>
      <c r="I905" s="8">
        <v>2312.42</v>
      </c>
      <c r="J905" s="7">
        <v>100198</v>
      </c>
    </row>
    <row r="906" spans="1:10" x14ac:dyDescent="0.3">
      <c r="A906" s="10">
        <v>43903</v>
      </c>
      <c r="B906" t="s">
        <v>53</v>
      </c>
      <c r="C906" s="8">
        <v>1651</v>
      </c>
      <c r="D906" s="7">
        <v>80</v>
      </c>
      <c r="E906" s="8">
        <v>307.38</v>
      </c>
      <c r="F906" s="8">
        <v>50</v>
      </c>
      <c r="G906" s="8">
        <v>2008.38</v>
      </c>
      <c r="H906" s="8">
        <v>280.64</v>
      </c>
      <c r="I906" s="8">
        <v>2289.02</v>
      </c>
      <c r="J906" s="7" t="s">
        <v>14</v>
      </c>
    </row>
    <row r="907" spans="1:10" x14ac:dyDescent="0.3">
      <c r="A907" s="10">
        <v>43917</v>
      </c>
      <c r="B907" t="s">
        <v>53</v>
      </c>
      <c r="C907" s="8">
        <v>0</v>
      </c>
      <c r="D907" s="7">
        <v>0</v>
      </c>
      <c r="E907" s="8">
        <v>0</v>
      </c>
      <c r="F907" s="8">
        <v>0</v>
      </c>
      <c r="G907" s="8">
        <v>0</v>
      </c>
      <c r="H907" s="8">
        <v>-88.09</v>
      </c>
      <c r="I907" s="8">
        <v>-88.09</v>
      </c>
    </row>
    <row r="908" spans="1:10" x14ac:dyDescent="0.3">
      <c r="A908" s="10">
        <v>43917</v>
      </c>
      <c r="B908" t="s">
        <v>53</v>
      </c>
      <c r="C908" s="8">
        <v>0</v>
      </c>
      <c r="D908" s="7">
        <v>0</v>
      </c>
      <c r="E908" s="8">
        <v>0</v>
      </c>
      <c r="F908" s="8">
        <v>0</v>
      </c>
      <c r="G908" s="8">
        <v>0</v>
      </c>
      <c r="H908" s="8">
        <v>0.59</v>
      </c>
      <c r="I908" s="8">
        <v>0.59</v>
      </c>
    </row>
    <row r="909" spans="1:10" x14ac:dyDescent="0.3">
      <c r="A909" s="10">
        <v>43917</v>
      </c>
      <c r="B909" t="s">
        <v>53</v>
      </c>
      <c r="C909" s="8">
        <v>1406.57</v>
      </c>
      <c r="D909" s="7">
        <v>84</v>
      </c>
      <c r="E909" s="8">
        <v>321.43</v>
      </c>
      <c r="F909" s="8">
        <v>35</v>
      </c>
      <c r="G909" s="8">
        <v>1763</v>
      </c>
      <c r="H909" s="8">
        <v>292.41000000000003</v>
      </c>
      <c r="I909" s="8">
        <v>2055.41</v>
      </c>
      <c r="J909" s="7" t="s">
        <v>14</v>
      </c>
    </row>
    <row r="910" spans="1:10" x14ac:dyDescent="0.3">
      <c r="A910" s="10">
        <v>43917</v>
      </c>
      <c r="B910" t="s">
        <v>53</v>
      </c>
      <c r="C910" s="8">
        <v>0</v>
      </c>
      <c r="D910" s="7">
        <v>0</v>
      </c>
      <c r="E910" s="8">
        <v>0</v>
      </c>
      <c r="F910" s="8">
        <v>0</v>
      </c>
      <c r="G910" s="8">
        <v>0</v>
      </c>
      <c r="H910" s="8">
        <v>117.01</v>
      </c>
      <c r="I910" s="8">
        <v>117.01</v>
      </c>
    </row>
    <row r="911" spans="1:10" x14ac:dyDescent="0.3">
      <c r="A911" s="10">
        <v>43931</v>
      </c>
      <c r="B911" t="s">
        <v>53</v>
      </c>
      <c r="C911" s="8">
        <v>0</v>
      </c>
      <c r="D911" s="7">
        <v>0</v>
      </c>
      <c r="E911" s="8">
        <v>0</v>
      </c>
      <c r="F911" s="8">
        <v>0</v>
      </c>
      <c r="G911" s="8">
        <v>0</v>
      </c>
      <c r="H911" s="8">
        <v>0.09</v>
      </c>
      <c r="I911" s="8">
        <v>0.09</v>
      </c>
    </row>
    <row r="912" spans="1:10" x14ac:dyDescent="0.3">
      <c r="A912" s="10">
        <v>43931</v>
      </c>
      <c r="B912" t="s">
        <v>53</v>
      </c>
      <c r="C912" s="8">
        <v>0</v>
      </c>
      <c r="D912" s="7">
        <v>0</v>
      </c>
      <c r="E912" s="8">
        <v>0</v>
      </c>
      <c r="F912" s="8">
        <v>0</v>
      </c>
      <c r="G912" s="8">
        <v>0</v>
      </c>
      <c r="H912" s="8">
        <v>-12.46</v>
      </c>
      <c r="I912" s="8">
        <v>-12.46</v>
      </c>
    </row>
    <row r="913" spans="1:10" x14ac:dyDescent="0.3">
      <c r="A913" s="10">
        <v>43931</v>
      </c>
      <c r="B913" t="s">
        <v>53</v>
      </c>
      <c r="C913" s="8">
        <v>738.36</v>
      </c>
      <c r="D913" s="7">
        <v>40</v>
      </c>
      <c r="E913" s="8">
        <v>81.64</v>
      </c>
      <c r="F913" s="8">
        <v>0</v>
      </c>
      <c r="G913" s="8">
        <v>820</v>
      </c>
      <c r="H913" s="8">
        <v>137.30000000000001</v>
      </c>
      <c r="I913" s="8">
        <v>957.3</v>
      </c>
      <c r="J913" s="7" t="s">
        <v>14</v>
      </c>
    </row>
    <row r="914" spans="1:10" x14ac:dyDescent="0.3">
      <c r="A914" s="10">
        <v>43931</v>
      </c>
      <c r="B914" t="s">
        <v>53</v>
      </c>
      <c r="C914" s="8">
        <v>0</v>
      </c>
      <c r="D914" s="7">
        <v>0</v>
      </c>
      <c r="E914" s="8">
        <v>0</v>
      </c>
      <c r="F914" s="8">
        <v>0</v>
      </c>
      <c r="G914" s="8">
        <v>0</v>
      </c>
      <c r="H914" s="8">
        <v>16.84</v>
      </c>
      <c r="I914" s="8">
        <v>16.84</v>
      </c>
    </row>
    <row r="915" spans="1:10" x14ac:dyDescent="0.3">
      <c r="A915" s="10">
        <v>43945</v>
      </c>
      <c r="B915" t="s">
        <v>53</v>
      </c>
      <c r="C915" s="8">
        <v>500.06</v>
      </c>
      <c r="D915" s="7">
        <v>27.09</v>
      </c>
      <c r="E915" s="8">
        <v>55.29</v>
      </c>
      <c r="F915" s="8">
        <v>0</v>
      </c>
      <c r="G915" s="8">
        <v>555.35</v>
      </c>
      <c r="H915" s="8">
        <v>94.99</v>
      </c>
      <c r="I915" s="8">
        <v>650.34</v>
      </c>
      <c r="J915" s="7" t="s">
        <v>14</v>
      </c>
    </row>
    <row r="916" spans="1:10" x14ac:dyDescent="0.3">
      <c r="A916" s="10">
        <v>43959</v>
      </c>
      <c r="B916" t="s">
        <v>53</v>
      </c>
      <c r="C916" s="8">
        <v>700.06</v>
      </c>
      <c r="D916" s="7">
        <v>37.92</v>
      </c>
      <c r="E916" s="8">
        <v>77.400000000000006</v>
      </c>
      <c r="F916" s="8">
        <v>0</v>
      </c>
      <c r="G916" s="8">
        <v>777.46</v>
      </c>
      <c r="H916" s="8">
        <v>129.72</v>
      </c>
      <c r="I916" s="8">
        <v>907.18</v>
      </c>
      <c r="J916" s="7" t="s">
        <v>14</v>
      </c>
    </row>
    <row r="917" spans="1:10" x14ac:dyDescent="0.3">
      <c r="A917" s="10">
        <v>43973</v>
      </c>
      <c r="B917" t="s">
        <v>53</v>
      </c>
      <c r="C917" s="8">
        <v>738.36</v>
      </c>
      <c r="D917" s="7">
        <v>40</v>
      </c>
      <c r="E917" s="8">
        <v>81.64</v>
      </c>
      <c r="F917" s="8">
        <v>0</v>
      </c>
      <c r="G917" s="8">
        <v>820</v>
      </c>
      <c r="H917" s="8">
        <v>136.84</v>
      </c>
      <c r="I917" s="8">
        <v>956.84</v>
      </c>
      <c r="J917" s="7" t="s">
        <v>14</v>
      </c>
    </row>
    <row r="918" spans="1:10" x14ac:dyDescent="0.3">
      <c r="A918" s="10">
        <v>43987</v>
      </c>
      <c r="B918" t="s">
        <v>53</v>
      </c>
      <c r="C918" s="8">
        <v>1471.8</v>
      </c>
      <c r="D918" s="7">
        <v>72.5</v>
      </c>
      <c r="E918" s="8">
        <v>159.44999999999999</v>
      </c>
      <c r="F918" s="8">
        <v>0</v>
      </c>
      <c r="G918" s="8">
        <v>1631.25</v>
      </c>
      <c r="H918" s="8">
        <v>259.31</v>
      </c>
      <c r="I918" s="8">
        <v>1890.56</v>
      </c>
      <c r="J918" s="7" t="s">
        <v>14</v>
      </c>
    </row>
    <row r="919" spans="1:10" x14ac:dyDescent="0.3">
      <c r="A919" s="21" t="s">
        <v>15</v>
      </c>
      <c r="B919" s="22" t="str">
        <f>+B918</f>
        <v>Julio C. Caballero Pacheco</v>
      </c>
      <c r="C919" s="23">
        <f>SUM(C904:C918)</f>
        <v>9487.2099999999991</v>
      </c>
      <c r="D919" s="23">
        <f t="shared" ref="D919:I919" si="37">SUM(D904:D918)</f>
        <v>495.51</v>
      </c>
      <c r="E919" s="23">
        <f t="shared" si="37"/>
        <v>1471.3900000000003</v>
      </c>
      <c r="F919" s="23">
        <f t="shared" si="37"/>
        <v>135</v>
      </c>
      <c r="G919" s="23">
        <f t="shared" si="37"/>
        <v>11093.6</v>
      </c>
      <c r="H919" s="23">
        <f t="shared" si="37"/>
        <v>1755.9199999999998</v>
      </c>
      <c r="I919" s="23">
        <f t="shared" si="37"/>
        <v>12849.52</v>
      </c>
      <c r="J919" s="24"/>
    </row>
    <row r="920" spans="1:10" x14ac:dyDescent="0.3">
      <c r="A920" s="10">
        <v>43735</v>
      </c>
      <c r="B920" t="s">
        <v>54</v>
      </c>
      <c r="C920" s="8">
        <v>1079</v>
      </c>
      <c r="D920" s="7">
        <v>80</v>
      </c>
      <c r="E920" s="8">
        <v>190.38</v>
      </c>
      <c r="F920" s="8">
        <v>532</v>
      </c>
      <c r="G920" s="8">
        <v>1801.38</v>
      </c>
      <c r="H920" s="8">
        <v>338.7</v>
      </c>
      <c r="I920" s="8">
        <v>2140.08</v>
      </c>
      <c r="J920" s="7" t="s">
        <v>14</v>
      </c>
    </row>
    <row r="921" spans="1:10" x14ac:dyDescent="0.3">
      <c r="A921" s="10">
        <v>43749</v>
      </c>
      <c r="B921" t="s">
        <v>54</v>
      </c>
      <c r="C921" s="8">
        <v>1676</v>
      </c>
      <c r="D921" s="7">
        <v>80</v>
      </c>
      <c r="E921" s="8">
        <v>278.69</v>
      </c>
      <c r="F921" s="8">
        <v>340</v>
      </c>
      <c r="G921" s="8">
        <v>2294.69</v>
      </c>
      <c r="H921" s="8">
        <v>387.48</v>
      </c>
      <c r="I921" s="8">
        <v>2682.17</v>
      </c>
      <c r="J921" s="7" t="s">
        <v>14</v>
      </c>
    </row>
    <row r="922" spans="1:10" x14ac:dyDescent="0.3">
      <c r="A922" s="10">
        <v>43763</v>
      </c>
      <c r="B922" t="s">
        <v>54</v>
      </c>
      <c r="C922" s="8">
        <v>1328</v>
      </c>
      <c r="D922" s="7">
        <v>80</v>
      </c>
      <c r="E922" s="8">
        <v>215.89</v>
      </c>
      <c r="F922" s="8">
        <v>400</v>
      </c>
      <c r="G922" s="8">
        <v>1943.89</v>
      </c>
      <c r="H922" s="8">
        <v>352.79</v>
      </c>
      <c r="I922" s="8">
        <v>2296.6799999999998</v>
      </c>
      <c r="J922" s="7" t="s">
        <v>14</v>
      </c>
    </row>
    <row r="923" spans="1:10" x14ac:dyDescent="0.3">
      <c r="A923" s="10">
        <v>43777</v>
      </c>
      <c r="B923" t="s">
        <v>54</v>
      </c>
      <c r="C923" s="8">
        <v>2191</v>
      </c>
      <c r="D923" s="7">
        <v>80</v>
      </c>
      <c r="E923" s="8">
        <v>329.66</v>
      </c>
      <c r="F923" s="8">
        <v>50</v>
      </c>
      <c r="G923" s="8">
        <v>2570.66</v>
      </c>
      <c r="H923" s="8">
        <v>405.11</v>
      </c>
      <c r="I923" s="8">
        <v>2975.77</v>
      </c>
      <c r="J923" s="7" t="s">
        <v>14</v>
      </c>
    </row>
    <row r="924" spans="1:10" x14ac:dyDescent="0.3">
      <c r="A924" s="10">
        <v>43791</v>
      </c>
      <c r="B924" t="s">
        <v>54</v>
      </c>
      <c r="C924" s="8">
        <v>1600</v>
      </c>
      <c r="D924" s="7">
        <v>80</v>
      </c>
      <c r="E924" s="8">
        <v>275.20999999999998</v>
      </c>
      <c r="F924" s="8">
        <v>400</v>
      </c>
      <c r="G924" s="8">
        <v>2275.21</v>
      </c>
      <c r="H924" s="8">
        <v>371.91</v>
      </c>
      <c r="I924" s="8">
        <v>2647.12</v>
      </c>
      <c r="J924" s="7" t="s">
        <v>14</v>
      </c>
    </row>
    <row r="925" spans="1:10" x14ac:dyDescent="0.3">
      <c r="A925" s="10">
        <v>43805</v>
      </c>
      <c r="B925" t="s">
        <v>54</v>
      </c>
      <c r="C925" s="8">
        <v>1490</v>
      </c>
      <c r="D925" s="7">
        <v>80</v>
      </c>
      <c r="E925" s="8">
        <v>176.57</v>
      </c>
      <c r="F925" s="8">
        <v>30</v>
      </c>
      <c r="G925" s="8">
        <v>1696.57</v>
      </c>
      <c r="H925" s="8">
        <v>318.14999999999998</v>
      </c>
      <c r="I925" s="8">
        <v>2014.72</v>
      </c>
      <c r="J925" s="7" t="s">
        <v>14</v>
      </c>
    </row>
    <row r="926" spans="1:10" x14ac:dyDescent="0.3">
      <c r="A926" s="10">
        <v>43819</v>
      </c>
      <c r="B926" t="s">
        <v>54</v>
      </c>
      <c r="C926" s="8">
        <v>1940</v>
      </c>
      <c r="D926" s="7">
        <v>80</v>
      </c>
      <c r="E926" s="8">
        <v>273.04000000000002</v>
      </c>
      <c r="F926" s="8">
        <v>50</v>
      </c>
      <c r="G926" s="8">
        <v>2263.04</v>
      </c>
      <c r="H926" s="8">
        <v>370.78</v>
      </c>
      <c r="I926" s="8">
        <v>2633.82</v>
      </c>
      <c r="J926" s="7" t="s">
        <v>14</v>
      </c>
    </row>
    <row r="927" spans="1:10" x14ac:dyDescent="0.3">
      <c r="A927" s="10">
        <v>43833</v>
      </c>
      <c r="B927" t="s">
        <v>54</v>
      </c>
      <c r="C927" s="8">
        <v>2470</v>
      </c>
      <c r="D927" s="7">
        <v>80</v>
      </c>
      <c r="E927" s="8">
        <v>381.04</v>
      </c>
      <c r="F927" s="8">
        <v>0</v>
      </c>
      <c r="G927" s="8">
        <v>2851.04</v>
      </c>
      <c r="H927" s="8">
        <v>442.51</v>
      </c>
      <c r="I927" s="8">
        <v>3293.55</v>
      </c>
      <c r="J927" s="7" t="s">
        <v>14</v>
      </c>
    </row>
    <row r="928" spans="1:10" x14ac:dyDescent="0.3">
      <c r="A928" s="10">
        <v>43847</v>
      </c>
      <c r="B928" t="s">
        <v>54</v>
      </c>
      <c r="C928" s="8">
        <v>1850</v>
      </c>
      <c r="D928" s="7">
        <v>80</v>
      </c>
      <c r="E928" s="8">
        <v>213.52</v>
      </c>
      <c r="F928" s="8">
        <v>100</v>
      </c>
      <c r="G928" s="8">
        <v>2163.52</v>
      </c>
      <c r="H928" s="8">
        <v>353.4</v>
      </c>
      <c r="I928" s="8">
        <v>2516.92</v>
      </c>
      <c r="J928" s="7" t="s">
        <v>14</v>
      </c>
    </row>
    <row r="929" spans="1:10" x14ac:dyDescent="0.3">
      <c r="A929" s="10">
        <v>43861</v>
      </c>
      <c r="B929" t="s">
        <v>54</v>
      </c>
      <c r="C929" s="8">
        <v>0</v>
      </c>
      <c r="D929" s="7">
        <v>0</v>
      </c>
      <c r="E929" s="8">
        <v>0</v>
      </c>
      <c r="F929" s="8">
        <v>0</v>
      </c>
      <c r="G929" s="8">
        <v>0</v>
      </c>
      <c r="H929" s="8">
        <v>-170.82</v>
      </c>
      <c r="I929" s="8">
        <v>-170.82</v>
      </c>
    </row>
    <row r="930" spans="1:10" x14ac:dyDescent="0.3">
      <c r="A930" s="10">
        <v>43861</v>
      </c>
      <c r="B930" t="s">
        <v>54</v>
      </c>
      <c r="C930" s="8">
        <v>1990</v>
      </c>
      <c r="D930" s="7">
        <v>80</v>
      </c>
      <c r="E930" s="8">
        <v>229.63</v>
      </c>
      <c r="F930" s="8">
        <v>50</v>
      </c>
      <c r="G930" s="8">
        <v>2269.63</v>
      </c>
      <c r="H930" s="8">
        <v>362.29</v>
      </c>
      <c r="I930" s="8">
        <v>2631.92</v>
      </c>
      <c r="J930" s="7" t="s">
        <v>14</v>
      </c>
    </row>
    <row r="931" spans="1:10" x14ac:dyDescent="0.3">
      <c r="A931" s="10">
        <v>43875</v>
      </c>
      <c r="B931" t="s">
        <v>54</v>
      </c>
      <c r="C931" s="8">
        <v>2106</v>
      </c>
      <c r="D931" s="7">
        <v>80</v>
      </c>
      <c r="E931" s="8">
        <v>241.58</v>
      </c>
      <c r="F931" s="8">
        <v>50</v>
      </c>
      <c r="G931" s="8">
        <v>2397.58</v>
      </c>
      <c r="H931" s="8">
        <v>313.67</v>
      </c>
      <c r="I931" s="8">
        <v>2711.25</v>
      </c>
      <c r="J931" s="7" t="s">
        <v>14</v>
      </c>
    </row>
    <row r="932" spans="1:10" x14ac:dyDescent="0.3">
      <c r="A932" s="10">
        <v>43889</v>
      </c>
      <c r="B932" t="s">
        <v>54</v>
      </c>
      <c r="C932" s="8">
        <v>2847</v>
      </c>
      <c r="D932" s="7">
        <v>80</v>
      </c>
      <c r="E932" s="8">
        <v>341.56</v>
      </c>
      <c r="F932" s="8">
        <v>0</v>
      </c>
      <c r="G932" s="8">
        <v>3188.56</v>
      </c>
      <c r="H932" s="8">
        <v>362.96</v>
      </c>
      <c r="I932" s="8">
        <v>3551.52</v>
      </c>
      <c r="J932" s="7" t="s">
        <v>14</v>
      </c>
    </row>
    <row r="933" spans="1:10" x14ac:dyDescent="0.3">
      <c r="A933" s="10">
        <v>43903</v>
      </c>
      <c r="B933" t="s">
        <v>54</v>
      </c>
      <c r="C933" s="8">
        <v>2636</v>
      </c>
      <c r="D933" s="7">
        <v>80</v>
      </c>
      <c r="E933" s="8">
        <v>300.66000000000003</v>
      </c>
      <c r="F933" s="8">
        <v>0</v>
      </c>
      <c r="G933" s="8">
        <v>2936.66</v>
      </c>
      <c r="H933" s="8">
        <v>343.38</v>
      </c>
      <c r="I933" s="8">
        <v>3280.04</v>
      </c>
      <c r="J933" s="7" t="s">
        <v>14</v>
      </c>
    </row>
    <row r="934" spans="1:10" x14ac:dyDescent="0.3">
      <c r="A934" s="10">
        <v>43917</v>
      </c>
      <c r="B934" t="s">
        <v>54</v>
      </c>
      <c r="C934" s="8">
        <v>0</v>
      </c>
      <c r="D934" s="7">
        <v>0</v>
      </c>
      <c r="E934" s="8">
        <v>0</v>
      </c>
      <c r="F934" s="8">
        <v>0</v>
      </c>
      <c r="G934" s="8">
        <v>0</v>
      </c>
      <c r="H934" s="8">
        <v>235.7</v>
      </c>
      <c r="I934" s="8">
        <v>235.7</v>
      </c>
    </row>
    <row r="935" spans="1:10" x14ac:dyDescent="0.3">
      <c r="A935" s="10">
        <v>43917</v>
      </c>
      <c r="B935" t="s">
        <v>54</v>
      </c>
      <c r="C935" s="8">
        <v>0</v>
      </c>
      <c r="D935" s="7">
        <v>0</v>
      </c>
      <c r="E935" s="8">
        <v>0</v>
      </c>
      <c r="F935" s="8">
        <v>0</v>
      </c>
      <c r="G935" s="8">
        <v>0</v>
      </c>
      <c r="H935" s="8">
        <v>1.7</v>
      </c>
      <c r="I935" s="8">
        <v>1.7</v>
      </c>
    </row>
    <row r="936" spans="1:10" x14ac:dyDescent="0.3">
      <c r="A936" s="10">
        <v>43917</v>
      </c>
      <c r="B936" t="s">
        <v>54</v>
      </c>
      <c r="C936" s="8">
        <v>2648</v>
      </c>
      <c r="D936" s="7">
        <v>80</v>
      </c>
      <c r="E936" s="8">
        <v>377</v>
      </c>
      <c r="F936" s="8">
        <v>0</v>
      </c>
      <c r="G936" s="8">
        <v>3025</v>
      </c>
      <c r="H936" s="8">
        <v>379.5</v>
      </c>
      <c r="I936" s="8">
        <v>3404.5</v>
      </c>
      <c r="J936" s="7" t="s">
        <v>14</v>
      </c>
    </row>
    <row r="937" spans="1:10" x14ac:dyDescent="0.3">
      <c r="A937" s="10">
        <v>43917</v>
      </c>
      <c r="B937" t="s">
        <v>54</v>
      </c>
      <c r="C937" s="8">
        <v>0</v>
      </c>
      <c r="D937" s="7">
        <v>0</v>
      </c>
      <c r="E937" s="8">
        <v>0</v>
      </c>
      <c r="F937" s="8">
        <v>0</v>
      </c>
      <c r="G937" s="8">
        <v>0</v>
      </c>
      <c r="H937" s="8">
        <v>-259.23</v>
      </c>
      <c r="I937" s="8">
        <v>-259.23</v>
      </c>
    </row>
    <row r="938" spans="1:10" x14ac:dyDescent="0.3">
      <c r="A938" s="10">
        <v>43931</v>
      </c>
      <c r="B938" t="s">
        <v>54</v>
      </c>
      <c r="C938" s="8">
        <v>0</v>
      </c>
      <c r="D938" s="7">
        <v>0</v>
      </c>
      <c r="E938" s="8">
        <v>0</v>
      </c>
      <c r="F938" s="8">
        <v>0</v>
      </c>
      <c r="G938" s="8">
        <v>0</v>
      </c>
      <c r="H938" s="8">
        <v>16.84</v>
      </c>
      <c r="I938" s="8">
        <v>16.84</v>
      </c>
    </row>
    <row r="939" spans="1:10" x14ac:dyDescent="0.3">
      <c r="A939" s="10">
        <v>43931</v>
      </c>
      <c r="B939" t="s">
        <v>54</v>
      </c>
      <c r="C939" s="8">
        <v>904.13</v>
      </c>
      <c r="D939" s="7">
        <v>40</v>
      </c>
      <c r="E939" s="8">
        <v>95.87</v>
      </c>
      <c r="F939" s="8">
        <v>0</v>
      </c>
      <c r="G939" s="8">
        <v>1000</v>
      </c>
      <c r="H939" s="8">
        <v>149.11000000000001</v>
      </c>
      <c r="I939" s="8">
        <v>1149.1099999999999</v>
      </c>
      <c r="J939" s="7" t="s">
        <v>14</v>
      </c>
    </row>
    <row r="940" spans="1:10" x14ac:dyDescent="0.3">
      <c r="A940" s="10">
        <v>43931</v>
      </c>
      <c r="B940" t="s">
        <v>54</v>
      </c>
      <c r="C940" s="8">
        <v>0</v>
      </c>
      <c r="D940" s="7">
        <v>0</v>
      </c>
      <c r="E940" s="8">
        <v>0</v>
      </c>
      <c r="F940" s="8">
        <v>0</v>
      </c>
      <c r="G940" s="8">
        <v>0</v>
      </c>
      <c r="H940" s="8">
        <v>-15.2</v>
      </c>
      <c r="I940" s="8">
        <v>-15.2</v>
      </c>
    </row>
    <row r="941" spans="1:10" x14ac:dyDescent="0.3">
      <c r="A941" s="10">
        <v>43931</v>
      </c>
      <c r="B941" t="s">
        <v>54</v>
      </c>
      <c r="C941" s="8">
        <v>0</v>
      </c>
      <c r="D941" s="7">
        <v>0</v>
      </c>
      <c r="E941" s="8">
        <v>0</v>
      </c>
      <c r="F941" s="8">
        <v>0</v>
      </c>
      <c r="G941" s="8">
        <v>0</v>
      </c>
      <c r="H941" s="8">
        <v>0.1</v>
      </c>
      <c r="I941" s="8">
        <v>0.1</v>
      </c>
    </row>
    <row r="942" spans="1:10" x14ac:dyDescent="0.3">
      <c r="A942" s="10">
        <v>43945</v>
      </c>
      <c r="B942" t="s">
        <v>54</v>
      </c>
      <c r="C942" s="8">
        <v>500.22</v>
      </c>
      <c r="D942" s="7">
        <v>22.13</v>
      </c>
      <c r="E942" s="8">
        <v>53.03</v>
      </c>
      <c r="F942" s="8">
        <v>0</v>
      </c>
      <c r="G942" s="8">
        <v>553.25</v>
      </c>
      <c r="H942" s="8">
        <v>83.45</v>
      </c>
      <c r="I942" s="8">
        <v>636.70000000000005</v>
      </c>
      <c r="J942" s="7" t="s">
        <v>14</v>
      </c>
    </row>
    <row r="943" spans="1:10" x14ac:dyDescent="0.3">
      <c r="A943" s="10">
        <v>43973</v>
      </c>
      <c r="B943" t="s">
        <v>54</v>
      </c>
      <c r="C943" s="8">
        <v>2954.7</v>
      </c>
      <c r="D943" s="7">
        <v>80</v>
      </c>
      <c r="E943" s="8">
        <v>487.8</v>
      </c>
      <c r="F943" s="8">
        <v>0</v>
      </c>
      <c r="G943" s="8">
        <v>3442.5</v>
      </c>
      <c r="H943" s="8">
        <v>546.02</v>
      </c>
      <c r="I943" s="8">
        <v>3988.52</v>
      </c>
      <c r="J943" s="7" t="s">
        <v>14</v>
      </c>
    </row>
    <row r="944" spans="1:10" x14ac:dyDescent="0.3">
      <c r="A944" s="10">
        <v>43987</v>
      </c>
      <c r="B944" t="s">
        <v>54</v>
      </c>
      <c r="C944" s="8">
        <v>3330.78</v>
      </c>
      <c r="D944" s="7">
        <v>112.5</v>
      </c>
      <c r="E944" s="8">
        <v>484.72</v>
      </c>
      <c r="F944" s="8">
        <v>0</v>
      </c>
      <c r="G944" s="8">
        <v>3815.5</v>
      </c>
      <c r="H944" s="8">
        <v>465.86</v>
      </c>
      <c r="I944" s="8">
        <v>4281.3599999999997</v>
      </c>
      <c r="J944" s="7" t="s">
        <v>14</v>
      </c>
    </row>
    <row r="945" spans="1:10" x14ac:dyDescent="0.3">
      <c r="A945" s="21" t="s">
        <v>15</v>
      </c>
      <c r="B945" s="22" t="str">
        <f>+B944</f>
        <v>Luis Andres Arriagada Aguilera</v>
      </c>
      <c r="C945" s="23">
        <f>SUM(C920:C944)</f>
        <v>35540.83</v>
      </c>
      <c r="D945" s="23">
        <f t="shared" ref="D945:I945" si="38">SUM(D920:D944)</f>
        <v>1374.63</v>
      </c>
      <c r="E945" s="23">
        <f t="shared" si="38"/>
        <v>4945.8500000000004</v>
      </c>
      <c r="F945" s="23">
        <f t="shared" si="38"/>
        <v>2002</v>
      </c>
      <c r="G945" s="23">
        <f t="shared" si="38"/>
        <v>42488.68</v>
      </c>
      <c r="H945" s="23">
        <f t="shared" si="38"/>
        <v>6156.1599999999989</v>
      </c>
      <c r="I945" s="23">
        <f t="shared" si="38"/>
        <v>48644.839999999982</v>
      </c>
      <c r="J945" s="24"/>
    </row>
    <row r="946" spans="1:10" x14ac:dyDescent="0.3">
      <c r="A946" s="10">
        <v>43441</v>
      </c>
      <c r="B946" t="s">
        <v>55</v>
      </c>
      <c r="C946" s="8">
        <v>1000</v>
      </c>
      <c r="D946" s="7">
        <v>40</v>
      </c>
      <c r="E946" s="8">
        <v>128.05000000000001</v>
      </c>
      <c r="F946" s="8">
        <v>0</v>
      </c>
      <c r="G946" s="8">
        <v>1128.05</v>
      </c>
      <c r="H946" s="8">
        <v>193.76</v>
      </c>
      <c r="I946" s="8">
        <v>1321.81</v>
      </c>
      <c r="J946" s="7">
        <v>100107</v>
      </c>
    </row>
    <row r="947" spans="1:10" x14ac:dyDescent="0.3">
      <c r="A947" s="10">
        <v>43455</v>
      </c>
      <c r="B947" t="s">
        <v>55</v>
      </c>
      <c r="C947" s="8">
        <v>846</v>
      </c>
      <c r="D947" s="7">
        <v>80</v>
      </c>
      <c r="E947" s="8">
        <v>477.6</v>
      </c>
      <c r="F947" s="8">
        <v>1529</v>
      </c>
      <c r="G947" s="8">
        <v>2852.6</v>
      </c>
      <c r="H947" s="8">
        <v>447.5</v>
      </c>
      <c r="I947" s="8">
        <v>3300.1</v>
      </c>
      <c r="J947" s="7">
        <v>100115</v>
      </c>
    </row>
    <row r="948" spans="1:10" x14ac:dyDescent="0.3">
      <c r="A948" s="10">
        <v>43469</v>
      </c>
      <c r="B948" t="s">
        <v>55</v>
      </c>
      <c r="C948" s="8">
        <v>0</v>
      </c>
      <c r="D948" s="7">
        <v>0</v>
      </c>
      <c r="E948" s="8">
        <v>0</v>
      </c>
      <c r="F948" s="8">
        <v>0</v>
      </c>
      <c r="G948" s="8">
        <v>0</v>
      </c>
      <c r="H948" s="8">
        <v>0</v>
      </c>
      <c r="I948" s="8">
        <v>0</v>
      </c>
    </row>
    <row r="949" spans="1:10" x14ac:dyDescent="0.3">
      <c r="A949" s="10">
        <v>43469</v>
      </c>
      <c r="B949" t="s">
        <v>55</v>
      </c>
      <c r="C949" s="8">
        <v>861</v>
      </c>
      <c r="D949" s="7">
        <v>80</v>
      </c>
      <c r="E949" s="8">
        <v>409.42</v>
      </c>
      <c r="F949" s="8">
        <v>1214</v>
      </c>
      <c r="G949" s="8">
        <v>2484.42</v>
      </c>
      <c r="H949" s="8">
        <v>410.47</v>
      </c>
      <c r="I949" s="8">
        <v>2894.89</v>
      </c>
      <c r="J949" s="7">
        <v>100121</v>
      </c>
    </row>
    <row r="950" spans="1:10" x14ac:dyDescent="0.3">
      <c r="A950" s="10">
        <v>43483</v>
      </c>
      <c r="B950" t="s">
        <v>55</v>
      </c>
      <c r="C950" s="8">
        <v>0</v>
      </c>
      <c r="D950" s="7">
        <v>0</v>
      </c>
      <c r="E950" s="8">
        <v>0</v>
      </c>
      <c r="F950" s="8">
        <v>0</v>
      </c>
      <c r="G950" s="8">
        <v>0</v>
      </c>
      <c r="H950" s="8">
        <v>0</v>
      </c>
      <c r="I950" s="8">
        <v>0</v>
      </c>
    </row>
    <row r="951" spans="1:10" x14ac:dyDescent="0.3">
      <c r="A951" s="10">
        <v>43483</v>
      </c>
      <c r="B951" t="s">
        <v>55</v>
      </c>
      <c r="C951" s="8">
        <v>1685</v>
      </c>
      <c r="D951" s="7">
        <v>80</v>
      </c>
      <c r="E951" s="8">
        <v>232.8</v>
      </c>
      <c r="F951" s="8">
        <v>490</v>
      </c>
      <c r="G951" s="8">
        <v>2407.8000000000002</v>
      </c>
      <c r="H951" s="8">
        <v>402.77</v>
      </c>
      <c r="I951" s="8">
        <v>2810.57</v>
      </c>
      <c r="J951" s="7">
        <v>100130</v>
      </c>
    </row>
    <row r="952" spans="1:10" x14ac:dyDescent="0.3">
      <c r="A952" s="10">
        <v>43483</v>
      </c>
      <c r="B952" t="s">
        <v>55</v>
      </c>
      <c r="C952" s="8">
        <v>0</v>
      </c>
      <c r="D952" s="7">
        <v>0</v>
      </c>
      <c r="E952" s="8">
        <v>-0.01</v>
      </c>
      <c r="F952" s="8">
        <v>0.01</v>
      </c>
      <c r="G952" s="8">
        <v>0</v>
      </c>
      <c r="H952" s="8">
        <v>0</v>
      </c>
      <c r="I952" s="8">
        <v>0</v>
      </c>
    </row>
    <row r="953" spans="1:10" x14ac:dyDescent="0.3">
      <c r="A953" s="10">
        <v>43497</v>
      </c>
      <c r="B953" t="s">
        <v>55</v>
      </c>
      <c r="C953" s="8">
        <v>2662</v>
      </c>
      <c r="D953" s="7">
        <v>80</v>
      </c>
      <c r="E953" s="8">
        <v>555.29999999999995</v>
      </c>
      <c r="F953" s="8">
        <v>0</v>
      </c>
      <c r="G953" s="8">
        <v>3217.3</v>
      </c>
      <c r="H953" s="8">
        <v>477.54</v>
      </c>
      <c r="I953" s="8">
        <v>3694.84</v>
      </c>
      <c r="J953" s="7">
        <v>100139</v>
      </c>
    </row>
    <row r="954" spans="1:10" x14ac:dyDescent="0.3">
      <c r="A954" s="10">
        <v>43497</v>
      </c>
      <c r="B954" t="s">
        <v>55</v>
      </c>
      <c r="C954" s="8">
        <v>0</v>
      </c>
      <c r="D954" s="7">
        <v>0</v>
      </c>
      <c r="E954" s="8">
        <v>-0.01</v>
      </c>
      <c r="F954" s="8">
        <v>0.01</v>
      </c>
      <c r="G954" s="8">
        <v>0</v>
      </c>
      <c r="H954" s="8">
        <v>0</v>
      </c>
      <c r="I954" s="8">
        <v>0</v>
      </c>
    </row>
    <row r="955" spans="1:10" x14ac:dyDescent="0.3">
      <c r="A955" s="10">
        <v>43511</v>
      </c>
      <c r="B955" t="s">
        <v>55</v>
      </c>
      <c r="C955" s="8">
        <v>2275</v>
      </c>
      <c r="D955" s="7">
        <v>80</v>
      </c>
      <c r="E955" s="8">
        <v>241.37</v>
      </c>
      <c r="F955" s="8">
        <v>0</v>
      </c>
      <c r="G955" s="8">
        <v>2516.37</v>
      </c>
      <c r="H955" s="8">
        <v>398.59</v>
      </c>
      <c r="I955" s="8">
        <v>2914.96</v>
      </c>
      <c r="J955" s="7" t="s">
        <v>14</v>
      </c>
    </row>
    <row r="956" spans="1:10" x14ac:dyDescent="0.3">
      <c r="A956" s="10">
        <v>43523</v>
      </c>
      <c r="B956" t="s">
        <v>55</v>
      </c>
      <c r="C956" s="8">
        <v>2475</v>
      </c>
      <c r="D956" s="7">
        <v>0</v>
      </c>
      <c r="E956" s="8">
        <v>455.76</v>
      </c>
      <c r="F956" s="8">
        <v>0</v>
      </c>
      <c r="G956" s="8">
        <v>2930.76</v>
      </c>
      <c r="H956" s="8">
        <v>277.24</v>
      </c>
      <c r="I956" s="8">
        <v>3208</v>
      </c>
      <c r="J956" s="7" t="s">
        <v>14</v>
      </c>
    </row>
    <row r="957" spans="1:10" x14ac:dyDescent="0.3">
      <c r="A957" s="10">
        <v>43523</v>
      </c>
      <c r="B957" t="s">
        <v>55</v>
      </c>
      <c r="C957" s="8">
        <v>0</v>
      </c>
      <c r="D957" s="7">
        <v>0</v>
      </c>
      <c r="E957" s="8">
        <v>-0.01</v>
      </c>
      <c r="F957" s="8">
        <v>0.01</v>
      </c>
      <c r="G957" s="8">
        <v>0</v>
      </c>
      <c r="H957" s="8">
        <v>0</v>
      </c>
      <c r="I957" s="8">
        <v>0</v>
      </c>
    </row>
    <row r="958" spans="1:10" x14ac:dyDescent="0.3">
      <c r="A958" s="10">
        <v>43539</v>
      </c>
      <c r="B958" t="s">
        <v>55</v>
      </c>
      <c r="C958" s="8">
        <v>2512</v>
      </c>
      <c r="D958" s="7">
        <v>80</v>
      </c>
      <c r="E958" s="8">
        <v>518.03</v>
      </c>
      <c r="F958" s="8">
        <v>0</v>
      </c>
      <c r="G958" s="8">
        <v>3030.03</v>
      </c>
      <c r="H958" s="8">
        <v>447.19</v>
      </c>
      <c r="I958" s="8">
        <v>3477.22</v>
      </c>
      <c r="J958" s="7" t="s">
        <v>14</v>
      </c>
    </row>
    <row r="959" spans="1:10" x14ac:dyDescent="0.3">
      <c r="A959" s="10">
        <v>43553</v>
      </c>
      <c r="B959" t="s">
        <v>55</v>
      </c>
      <c r="C959" s="8">
        <v>0</v>
      </c>
      <c r="D959" s="7">
        <v>0</v>
      </c>
      <c r="E959" s="8">
        <v>0</v>
      </c>
      <c r="F959" s="8">
        <v>0</v>
      </c>
      <c r="G959" s="8">
        <v>0</v>
      </c>
      <c r="H959" s="8">
        <v>-32.26</v>
      </c>
      <c r="I959" s="8">
        <v>-32.26</v>
      </c>
    </row>
    <row r="960" spans="1:10" x14ac:dyDescent="0.3">
      <c r="A960" s="10">
        <v>43553</v>
      </c>
      <c r="B960" t="s">
        <v>55</v>
      </c>
      <c r="C960" s="8">
        <v>2000</v>
      </c>
      <c r="D960" s="7">
        <v>80</v>
      </c>
      <c r="E960" s="8">
        <v>390.79</v>
      </c>
      <c r="F960" s="8">
        <v>0</v>
      </c>
      <c r="G960" s="8">
        <v>2390.79</v>
      </c>
      <c r="H960" s="8">
        <v>386.71</v>
      </c>
      <c r="I960" s="8">
        <v>2777.5</v>
      </c>
      <c r="J960" s="7" t="s">
        <v>14</v>
      </c>
    </row>
    <row r="961" spans="1:10" x14ac:dyDescent="0.3">
      <c r="A961" s="10">
        <v>43567</v>
      </c>
      <c r="B961" t="s">
        <v>55</v>
      </c>
      <c r="C961" s="8">
        <v>0</v>
      </c>
      <c r="D961" s="7">
        <v>0</v>
      </c>
      <c r="E961" s="8">
        <v>-0.01</v>
      </c>
      <c r="F961" s="8">
        <v>0.01</v>
      </c>
      <c r="G961" s="8">
        <v>0</v>
      </c>
      <c r="H961" s="8">
        <v>0</v>
      </c>
      <c r="I961" s="8">
        <v>0</v>
      </c>
    </row>
    <row r="962" spans="1:10" x14ac:dyDescent="0.3">
      <c r="A962" s="10">
        <v>43567</v>
      </c>
      <c r="B962" t="s">
        <v>55</v>
      </c>
      <c r="C962" s="8">
        <v>2160</v>
      </c>
      <c r="D962" s="7">
        <v>80</v>
      </c>
      <c r="E962" s="8">
        <v>440.5</v>
      </c>
      <c r="F962" s="8">
        <v>40</v>
      </c>
      <c r="G962" s="8">
        <v>2640.5</v>
      </c>
      <c r="H962" s="8">
        <v>410.33</v>
      </c>
      <c r="I962" s="8">
        <v>3050.83</v>
      </c>
      <c r="J962" s="7" t="s">
        <v>14</v>
      </c>
    </row>
    <row r="963" spans="1:10" x14ac:dyDescent="0.3">
      <c r="A963" s="10">
        <v>43567</v>
      </c>
      <c r="B963" t="s">
        <v>55</v>
      </c>
      <c r="C963" s="8">
        <v>0</v>
      </c>
      <c r="D963" s="7">
        <v>0</v>
      </c>
      <c r="E963" s="8">
        <v>0</v>
      </c>
      <c r="F963" s="8">
        <v>0</v>
      </c>
      <c r="G963" s="8">
        <v>0</v>
      </c>
      <c r="H963" s="8">
        <v>-4.4800000000000004</v>
      </c>
      <c r="I963" s="8">
        <v>-4.4800000000000004</v>
      </c>
    </row>
    <row r="964" spans="1:10" x14ac:dyDescent="0.3">
      <c r="A964" s="10">
        <v>43581</v>
      </c>
      <c r="B964" t="s">
        <v>55</v>
      </c>
      <c r="C964" s="8">
        <v>2190</v>
      </c>
      <c r="D964" s="7">
        <v>80</v>
      </c>
      <c r="E964" s="8">
        <v>440.5</v>
      </c>
      <c r="F964" s="8">
        <v>10</v>
      </c>
      <c r="G964" s="8">
        <v>2640.5</v>
      </c>
      <c r="H964" s="8">
        <v>405.85</v>
      </c>
      <c r="I964" s="8">
        <v>3046.35</v>
      </c>
      <c r="J964" s="7" t="s">
        <v>14</v>
      </c>
    </row>
    <row r="965" spans="1:10" x14ac:dyDescent="0.3">
      <c r="A965" s="10">
        <v>43595</v>
      </c>
      <c r="B965" t="s">
        <v>55</v>
      </c>
      <c r="C965" s="8">
        <v>2350</v>
      </c>
      <c r="D965" s="7">
        <v>80</v>
      </c>
      <c r="E965" s="8">
        <v>477.75</v>
      </c>
      <c r="F965" s="8">
        <v>0</v>
      </c>
      <c r="G965" s="8">
        <v>2827.75</v>
      </c>
      <c r="H965" s="8">
        <v>423.24</v>
      </c>
      <c r="I965" s="8">
        <v>3250.99</v>
      </c>
      <c r="J965" s="7" t="s">
        <v>14</v>
      </c>
    </row>
    <row r="966" spans="1:10" x14ac:dyDescent="0.3">
      <c r="A966" s="10">
        <v>43609</v>
      </c>
      <c r="B966" t="s">
        <v>55</v>
      </c>
      <c r="C966" s="8">
        <v>2675</v>
      </c>
      <c r="D966" s="7">
        <v>80</v>
      </c>
      <c r="E966" s="8">
        <v>570.92999999999995</v>
      </c>
      <c r="F966" s="8">
        <v>50</v>
      </c>
      <c r="G966" s="8">
        <v>3295.93</v>
      </c>
      <c r="H966" s="8">
        <v>466.73</v>
      </c>
      <c r="I966" s="8">
        <v>3762.66</v>
      </c>
      <c r="J966" s="7" t="s">
        <v>14</v>
      </c>
    </row>
    <row r="967" spans="1:10" x14ac:dyDescent="0.3">
      <c r="A967" s="10">
        <v>43623</v>
      </c>
      <c r="B967" t="s">
        <v>55</v>
      </c>
      <c r="C967" s="8">
        <v>2307</v>
      </c>
      <c r="D967" s="7">
        <v>80</v>
      </c>
      <c r="E967" s="8">
        <v>474.54</v>
      </c>
      <c r="F967" s="8">
        <v>30</v>
      </c>
      <c r="G967" s="8">
        <v>2811.54</v>
      </c>
      <c r="H967" s="8">
        <v>421.73</v>
      </c>
      <c r="I967" s="8">
        <v>3233.27</v>
      </c>
      <c r="J967" s="7" t="s">
        <v>14</v>
      </c>
    </row>
    <row r="968" spans="1:10" x14ac:dyDescent="0.3">
      <c r="A968" s="10">
        <v>43637</v>
      </c>
      <c r="B968" t="s">
        <v>55</v>
      </c>
      <c r="C968" s="8">
        <v>2630</v>
      </c>
      <c r="D968" s="7">
        <v>80</v>
      </c>
      <c r="E968" s="8">
        <v>431.3</v>
      </c>
      <c r="F968" s="8">
        <v>20</v>
      </c>
      <c r="G968" s="8">
        <v>3081.3</v>
      </c>
      <c r="H968" s="8">
        <v>446.8</v>
      </c>
      <c r="I968" s="8">
        <v>3528.1</v>
      </c>
      <c r="J968" s="7" t="s">
        <v>14</v>
      </c>
    </row>
    <row r="969" spans="1:10" x14ac:dyDescent="0.3">
      <c r="A969" s="10">
        <v>43651</v>
      </c>
      <c r="B969" t="s">
        <v>55</v>
      </c>
      <c r="C969" s="8">
        <v>2095</v>
      </c>
      <c r="D969" s="7">
        <v>80</v>
      </c>
      <c r="E969" s="8">
        <v>228.48</v>
      </c>
      <c r="F969" s="8">
        <v>30</v>
      </c>
      <c r="G969" s="8">
        <v>2353.48</v>
      </c>
      <c r="H969" s="8">
        <v>379.18</v>
      </c>
      <c r="I969" s="8">
        <v>2732.66</v>
      </c>
      <c r="J969" s="7" t="s">
        <v>14</v>
      </c>
    </row>
    <row r="970" spans="1:10" x14ac:dyDescent="0.3">
      <c r="A970" s="10">
        <v>43665</v>
      </c>
      <c r="B970" t="s">
        <v>55</v>
      </c>
      <c r="C970" s="8">
        <v>1860</v>
      </c>
      <c r="D970" s="7">
        <v>80</v>
      </c>
      <c r="E970" s="8">
        <v>258.85000000000002</v>
      </c>
      <c r="F970" s="8">
        <v>65</v>
      </c>
      <c r="G970" s="8">
        <v>2183.85</v>
      </c>
      <c r="H970" s="8">
        <v>363.41</v>
      </c>
      <c r="I970" s="8">
        <v>2547.2600000000002</v>
      </c>
      <c r="J970" s="7" t="s">
        <v>14</v>
      </c>
    </row>
    <row r="971" spans="1:10" x14ac:dyDescent="0.3">
      <c r="A971" s="10">
        <v>43679</v>
      </c>
      <c r="B971" t="s">
        <v>55</v>
      </c>
      <c r="C971" s="8">
        <v>2337</v>
      </c>
      <c r="D971" s="7">
        <v>80</v>
      </c>
      <c r="E971" s="8">
        <v>365.94</v>
      </c>
      <c r="F971" s="8">
        <v>49.96</v>
      </c>
      <c r="G971" s="8">
        <v>2752.9</v>
      </c>
      <c r="H971" s="8">
        <v>416.29</v>
      </c>
      <c r="I971" s="8">
        <v>3169.19</v>
      </c>
      <c r="J971" s="7" t="s">
        <v>14</v>
      </c>
    </row>
    <row r="972" spans="1:10" x14ac:dyDescent="0.3">
      <c r="A972" s="10">
        <v>43693</v>
      </c>
      <c r="B972" t="s">
        <v>55</v>
      </c>
      <c r="C972" s="8">
        <v>2212</v>
      </c>
      <c r="D972" s="7">
        <v>80</v>
      </c>
      <c r="E972" s="8">
        <v>334.88</v>
      </c>
      <c r="F972" s="8">
        <v>50</v>
      </c>
      <c r="G972" s="8">
        <v>2596.88</v>
      </c>
      <c r="H972" s="8">
        <v>401.79</v>
      </c>
      <c r="I972" s="8">
        <v>2998.67</v>
      </c>
      <c r="J972" s="7" t="s">
        <v>14</v>
      </c>
    </row>
    <row r="973" spans="1:10" x14ac:dyDescent="0.3">
      <c r="A973" s="10">
        <v>43707</v>
      </c>
      <c r="B973" t="s">
        <v>55</v>
      </c>
      <c r="C973" s="8">
        <v>2637</v>
      </c>
      <c r="D973" s="7">
        <v>80</v>
      </c>
      <c r="E973" s="8">
        <v>440.5</v>
      </c>
      <c r="F973" s="8">
        <v>50</v>
      </c>
      <c r="G973" s="8">
        <v>3127.5</v>
      </c>
      <c r="H973" s="8">
        <v>451.1</v>
      </c>
      <c r="I973" s="8">
        <v>3578.6</v>
      </c>
      <c r="J973" s="7" t="s">
        <v>14</v>
      </c>
    </row>
    <row r="974" spans="1:10" x14ac:dyDescent="0.3">
      <c r="A974" s="10">
        <v>43721</v>
      </c>
      <c r="B974" t="s">
        <v>55</v>
      </c>
      <c r="C974" s="8">
        <v>2512</v>
      </c>
      <c r="D974" s="7">
        <v>80</v>
      </c>
      <c r="E974" s="8">
        <v>397</v>
      </c>
      <c r="F974" s="8">
        <v>0</v>
      </c>
      <c r="G974" s="8">
        <v>2909</v>
      </c>
      <c r="H974" s="8">
        <v>391.42</v>
      </c>
      <c r="I974" s="8">
        <v>3300.42</v>
      </c>
      <c r="J974" s="7" t="s">
        <v>14</v>
      </c>
    </row>
    <row r="975" spans="1:10" x14ac:dyDescent="0.3">
      <c r="A975" s="10">
        <v>43735</v>
      </c>
      <c r="B975" t="s">
        <v>55</v>
      </c>
      <c r="C975" s="8">
        <v>2925</v>
      </c>
      <c r="D975" s="7">
        <v>80</v>
      </c>
      <c r="E975" s="8">
        <v>499.63</v>
      </c>
      <c r="F975" s="8">
        <v>0</v>
      </c>
      <c r="G975" s="8">
        <v>3424.63</v>
      </c>
      <c r="H975" s="8">
        <v>422.53</v>
      </c>
      <c r="I975" s="8">
        <v>3847.16</v>
      </c>
      <c r="J975" s="7" t="s">
        <v>14</v>
      </c>
    </row>
    <row r="976" spans="1:10" x14ac:dyDescent="0.3">
      <c r="A976" s="10">
        <v>43749</v>
      </c>
      <c r="B976" t="s">
        <v>55</v>
      </c>
      <c r="C976" s="8">
        <v>2500</v>
      </c>
      <c r="D976" s="7">
        <v>80</v>
      </c>
      <c r="E976" s="8">
        <v>418.87</v>
      </c>
      <c r="F976" s="8">
        <v>100</v>
      </c>
      <c r="G976" s="8">
        <v>3018.87</v>
      </c>
      <c r="H976" s="8">
        <v>391.48</v>
      </c>
      <c r="I976" s="8">
        <v>3410.35</v>
      </c>
      <c r="J976" s="7" t="s">
        <v>14</v>
      </c>
    </row>
    <row r="977" spans="1:10" x14ac:dyDescent="0.3">
      <c r="A977" s="10">
        <v>43763</v>
      </c>
      <c r="B977" t="s">
        <v>55</v>
      </c>
      <c r="C977" s="8">
        <v>2316</v>
      </c>
      <c r="D977" s="7">
        <v>80</v>
      </c>
      <c r="E977" s="8">
        <v>360.74</v>
      </c>
      <c r="F977" s="8">
        <v>50</v>
      </c>
      <c r="G977" s="8">
        <v>2726.74</v>
      </c>
      <c r="H977" s="8">
        <v>369.14</v>
      </c>
      <c r="I977" s="8">
        <v>3095.88</v>
      </c>
      <c r="J977" s="7" t="s">
        <v>14</v>
      </c>
    </row>
    <row r="978" spans="1:10" x14ac:dyDescent="0.3">
      <c r="A978" s="10">
        <v>43777</v>
      </c>
      <c r="B978" t="s">
        <v>55</v>
      </c>
      <c r="C978" s="8">
        <v>2342</v>
      </c>
      <c r="D978" s="7">
        <v>80</v>
      </c>
      <c r="E978" s="8">
        <v>367.19</v>
      </c>
      <c r="F978" s="8">
        <v>50</v>
      </c>
      <c r="G978" s="8">
        <v>2759.19</v>
      </c>
      <c r="H978" s="8">
        <v>371.62</v>
      </c>
      <c r="I978" s="8">
        <v>3130.81</v>
      </c>
      <c r="J978" s="7" t="s">
        <v>14</v>
      </c>
    </row>
    <row r="979" spans="1:10" x14ac:dyDescent="0.3">
      <c r="A979" s="10">
        <v>43791</v>
      </c>
      <c r="B979" t="s">
        <v>55</v>
      </c>
      <c r="C979" s="8">
        <v>2316</v>
      </c>
      <c r="D979" s="7">
        <v>80</v>
      </c>
      <c r="E979" s="8">
        <v>360.71</v>
      </c>
      <c r="F979" s="8">
        <v>50</v>
      </c>
      <c r="G979" s="8">
        <v>2726.71</v>
      </c>
      <c r="H979" s="8">
        <v>369.12</v>
      </c>
      <c r="I979" s="8">
        <v>3095.83</v>
      </c>
      <c r="J979" s="7" t="s">
        <v>14</v>
      </c>
    </row>
    <row r="980" spans="1:10" x14ac:dyDescent="0.3">
      <c r="A980" s="10">
        <v>43805</v>
      </c>
      <c r="B980" t="s">
        <v>55</v>
      </c>
      <c r="C980" s="8">
        <v>1946</v>
      </c>
      <c r="D980" s="7">
        <v>80</v>
      </c>
      <c r="E980" s="8">
        <v>269.97000000000003</v>
      </c>
      <c r="F980" s="8">
        <v>30</v>
      </c>
      <c r="G980" s="8">
        <v>2245.9699999999998</v>
      </c>
      <c r="H980" s="8">
        <v>332.36</v>
      </c>
      <c r="I980" s="8">
        <v>2578.33</v>
      </c>
      <c r="J980" s="7" t="s">
        <v>14</v>
      </c>
    </row>
    <row r="981" spans="1:10" x14ac:dyDescent="0.3">
      <c r="A981" s="10">
        <v>43819</v>
      </c>
      <c r="B981" t="s">
        <v>55</v>
      </c>
      <c r="C981" s="8">
        <v>2381</v>
      </c>
      <c r="D981" s="7">
        <v>80</v>
      </c>
      <c r="E981" s="8">
        <v>376.87</v>
      </c>
      <c r="F981" s="8">
        <v>50</v>
      </c>
      <c r="G981" s="8">
        <v>2807.87</v>
      </c>
      <c r="H981" s="8">
        <v>375.34</v>
      </c>
      <c r="I981" s="8">
        <v>3183.21</v>
      </c>
      <c r="J981" s="7" t="s">
        <v>14</v>
      </c>
    </row>
    <row r="982" spans="1:10" x14ac:dyDescent="0.3">
      <c r="A982" s="10">
        <v>43833</v>
      </c>
      <c r="B982" t="s">
        <v>55</v>
      </c>
      <c r="C982" s="8">
        <v>2093</v>
      </c>
      <c r="D982" s="7">
        <v>80</v>
      </c>
      <c r="E982" s="8">
        <v>291.26</v>
      </c>
      <c r="F982" s="8">
        <v>0</v>
      </c>
      <c r="G982" s="8">
        <v>2384.2600000000002</v>
      </c>
      <c r="H982" s="8">
        <v>396.35</v>
      </c>
      <c r="I982" s="8">
        <v>2780.61</v>
      </c>
      <c r="J982" s="7" t="s">
        <v>14</v>
      </c>
    </row>
    <row r="983" spans="1:10" x14ac:dyDescent="0.3">
      <c r="A983" s="10">
        <v>43847</v>
      </c>
      <c r="B983" t="s">
        <v>55</v>
      </c>
      <c r="C983" s="8">
        <v>2121</v>
      </c>
      <c r="D983" s="7">
        <v>80</v>
      </c>
      <c r="E983" s="8">
        <v>262.05</v>
      </c>
      <c r="F983" s="8">
        <v>100</v>
      </c>
      <c r="G983" s="8">
        <v>2483.0500000000002</v>
      </c>
      <c r="H983" s="8">
        <v>380.2</v>
      </c>
      <c r="I983" s="8">
        <v>2863.25</v>
      </c>
      <c r="J983" s="7" t="s">
        <v>14</v>
      </c>
    </row>
    <row r="984" spans="1:10" x14ac:dyDescent="0.3">
      <c r="A984" s="10">
        <v>43861</v>
      </c>
      <c r="B984" t="s">
        <v>55</v>
      </c>
      <c r="C984" s="8">
        <v>2394</v>
      </c>
      <c r="D984" s="7">
        <v>80</v>
      </c>
      <c r="E984" s="8">
        <v>301.94</v>
      </c>
      <c r="F984" s="8">
        <v>50</v>
      </c>
      <c r="G984" s="8">
        <v>2745.94</v>
      </c>
      <c r="H984" s="8">
        <v>401.94</v>
      </c>
      <c r="I984" s="8">
        <v>3147.88</v>
      </c>
      <c r="J984" s="7" t="s">
        <v>14</v>
      </c>
    </row>
    <row r="985" spans="1:10" x14ac:dyDescent="0.3">
      <c r="A985" s="10">
        <v>43861</v>
      </c>
      <c r="B985" t="s">
        <v>55</v>
      </c>
      <c r="C985" s="8">
        <v>0</v>
      </c>
      <c r="D985" s="7">
        <v>0</v>
      </c>
      <c r="E985" s="8">
        <v>0</v>
      </c>
      <c r="F985" s="8">
        <v>0</v>
      </c>
      <c r="G985" s="8">
        <v>0</v>
      </c>
      <c r="H985" s="8">
        <v>-170.82</v>
      </c>
      <c r="I985" s="8">
        <v>-170.82</v>
      </c>
    </row>
    <row r="986" spans="1:10" x14ac:dyDescent="0.3">
      <c r="A986" s="10">
        <v>43875</v>
      </c>
      <c r="B986" t="s">
        <v>55</v>
      </c>
      <c r="C986" s="8">
        <v>2173</v>
      </c>
      <c r="D986" s="7">
        <v>80</v>
      </c>
      <c r="E986" s="8">
        <v>253.58</v>
      </c>
      <c r="F986" s="8">
        <v>50</v>
      </c>
      <c r="G986" s="8">
        <v>2476.58</v>
      </c>
      <c r="H986" s="8">
        <v>318.94</v>
      </c>
      <c r="I986" s="8">
        <v>2795.52</v>
      </c>
      <c r="J986" s="7" t="s">
        <v>14</v>
      </c>
    </row>
    <row r="987" spans="1:10" x14ac:dyDescent="0.3">
      <c r="A987" s="10">
        <v>43889</v>
      </c>
      <c r="B987" t="s">
        <v>55</v>
      </c>
      <c r="C987" s="8">
        <v>2264</v>
      </c>
      <c r="D987" s="7">
        <v>80</v>
      </c>
      <c r="E987" s="8">
        <v>269.86</v>
      </c>
      <c r="F987" s="8">
        <v>50</v>
      </c>
      <c r="G987" s="8">
        <v>2583.86</v>
      </c>
      <c r="H987" s="8">
        <v>327.39</v>
      </c>
      <c r="I987" s="8">
        <v>2911.25</v>
      </c>
      <c r="J987" s="7" t="s">
        <v>14</v>
      </c>
    </row>
    <row r="988" spans="1:10" x14ac:dyDescent="0.3">
      <c r="A988" s="10">
        <v>43903</v>
      </c>
      <c r="B988" t="s">
        <v>55</v>
      </c>
      <c r="C988" s="8">
        <v>2238</v>
      </c>
      <c r="D988" s="7">
        <v>80</v>
      </c>
      <c r="E988" s="8">
        <v>359.4</v>
      </c>
      <c r="F988" s="8">
        <v>50</v>
      </c>
      <c r="G988" s="8">
        <v>2647.4</v>
      </c>
      <c r="H988" s="8">
        <v>324.97000000000003</v>
      </c>
      <c r="I988" s="8">
        <v>2972.37</v>
      </c>
      <c r="J988" s="7" t="s">
        <v>14</v>
      </c>
    </row>
    <row r="989" spans="1:10" x14ac:dyDescent="0.3">
      <c r="A989" s="10">
        <v>43917</v>
      </c>
      <c r="B989" t="s">
        <v>55</v>
      </c>
      <c r="C989" s="8">
        <v>0</v>
      </c>
      <c r="D989" s="7">
        <v>0</v>
      </c>
      <c r="E989" s="8">
        <v>0</v>
      </c>
      <c r="F989" s="8">
        <v>0</v>
      </c>
      <c r="G989" s="8">
        <v>0</v>
      </c>
      <c r="H989" s="8">
        <v>1.63</v>
      </c>
      <c r="I989" s="8">
        <v>1.63</v>
      </c>
    </row>
    <row r="990" spans="1:10" x14ac:dyDescent="0.3">
      <c r="A990" s="10">
        <v>43917</v>
      </c>
      <c r="B990" t="s">
        <v>55</v>
      </c>
      <c r="C990" s="8">
        <v>0</v>
      </c>
      <c r="D990" s="7">
        <v>0</v>
      </c>
      <c r="E990" s="8">
        <v>0</v>
      </c>
      <c r="F990" s="8">
        <v>0</v>
      </c>
      <c r="G990" s="8">
        <v>0</v>
      </c>
      <c r="H990" s="8">
        <v>-246.92</v>
      </c>
      <c r="I990" s="8">
        <v>-246.92</v>
      </c>
    </row>
    <row r="991" spans="1:10" x14ac:dyDescent="0.3">
      <c r="A991" s="10">
        <v>43917</v>
      </c>
      <c r="B991" t="s">
        <v>55</v>
      </c>
      <c r="C991" s="8">
        <v>1959.7</v>
      </c>
      <c r="D991" s="7">
        <v>79</v>
      </c>
      <c r="E991" s="8">
        <v>375.3</v>
      </c>
      <c r="F991" s="8">
        <v>35</v>
      </c>
      <c r="G991" s="8">
        <v>2370</v>
      </c>
      <c r="H991" s="8">
        <v>331.18</v>
      </c>
      <c r="I991" s="8">
        <v>2701.18</v>
      </c>
      <c r="J991" s="7" t="s">
        <v>14</v>
      </c>
    </row>
    <row r="992" spans="1:10" x14ac:dyDescent="0.3">
      <c r="A992" s="10">
        <v>43917</v>
      </c>
      <c r="B992" t="s">
        <v>55</v>
      </c>
      <c r="C992" s="8">
        <v>0</v>
      </c>
      <c r="D992" s="7">
        <v>0</v>
      </c>
      <c r="E992" s="8">
        <v>0</v>
      </c>
      <c r="F992" s="8">
        <v>0</v>
      </c>
      <c r="G992" s="8">
        <v>0</v>
      </c>
      <c r="H992" s="8">
        <v>235.29</v>
      </c>
      <c r="I992" s="8">
        <v>235.29</v>
      </c>
    </row>
    <row r="993" spans="1:10" x14ac:dyDescent="0.3">
      <c r="A993" s="10">
        <v>43931</v>
      </c>
      <c r="B993" t="s">
        <v>55</v>
      </c>
      <c r="C993" s="8">
        <v>0</v>
      </c>
      <c r="D993" s="7">
        <v>0</v>
      </c>
      <c r="E993" s="8">
        <v>0</v>
      </c>
      <c r="F993" s="8">
        <v>0</v>
      </c>
      <c r="G993" s="8">
        <v>0</v>
      </c>
      <c r="H993" s="8">
        <v>16.84</v>
      </c>
      <c r="I993" s="8">
        <v>16.84</v>
      </c>
    </row>
    <row r="994" spans="1:10" x14ac:dyDescent="0.3">
      <c r="A994" s="10">
        <v>43931</v>
      </c>
      <c r="B994" t="s">
        <v>55</v>
      </c>
      <c r="C994" s="8">
        <v>1063.7</v>
      </c>
      <c r="D994" s="7">
        <v>40</v>
      </c>
      <c r="E994" s="8">
        <v>136.30000000000001</v>
      </c>
      <c r="F994" s="8">
        <v>0</v>
      </c>
      <c r="G994" s="8">
        <v>1200</v>
      </c>
      <c r="H994" s="8">
        <v>167.69</v>
      </c>
      <c r="I994" s="8">
        <v>1367.69</v>
      </c>
      <c r="J994" s="7" t="s">
        <v>14</v>
      </c>
    </row>
    <row r="995" spans="1:10" x14ac:dyDescent="0.3">
      <c r="A995" s="10">
        <v>43931</v>
      </c>
      <c r="B995" t="s">
        <v>55</v>
      </c>
      <c r="C995" s="8">
        <v>0</v>
      </c>
      <c r="D995" s="7">
        <v>0</v>
      </c>
      <c r="E995" s="8">
        <v>0</v>
      </c>
      <c r="F995" s="8">
        <v>0</v>
      </c>
      <c r="G995" s="8">
        <v>0</v>
      </c>
      <c r="H995" s="8">
        <v>-18.239999999999998</v>
      </c>
      <c r="I995" s="8">
        <v>-18.239999999999998</v>
      </c>
    </row>
    <row r="996" spans="1:10" x14ac:dyDescent="0.3">
      <c r="A996" s="10">
        <v>43931</v>
      </c>
      <c r="B996" t="s">
        <v>55</v>
      </c>
      <c r="C996" s="8">
        <v>0</v>
      </c>
      <c r="D996" s="7">
        <v>0</v>
      </c>
      <c r="E996" s="8">
        <v>0</v>
      </c>
      <c r="F996" s="8">
        <v>0</v>
      </c>
      <c r="G996" s="8">
        <v>0</v>
      </c>
      <c r="H996" s="8">
        <v>0.12</v>
      </c>
      <c r="I996" s="8">
        <v>0.12</v>
      </c>
    </row>
    <row r="997" spans="1:10" x14ac:dyDescent="0.3">
      <c r="A997" s="10">
        <v>43945</v>
      </c>
      <c r="B997" t="s">
        <v>55</v>
      </c>
      <c r="C997" s="8">
        <v>500.07</v>
      </c>
      <c r="D997" s="7">
        <v>18.38</v>
      </c>
      <c r="E997" s="8">
        <v>51.33</v>
      </c>
      <c r="F997" s="8">
        <v>0</v>
      </c>
      <c r="G997" s="8">
        <v>551.4</v>
      </c>
      <c r="H997" s="8">
        <v>76.47</v>
      </c>
      <c r="I997" s="8">
        <v>627.87</v>
      </c>
      <c r="J997" s="7" t="s">
        <v>14</v>
      </c>
    </row>
    <row r="998" spans="1:10" x14ac:dyDescent="0.3">
      <c r="A998" s="10">
        <v>43952</v>
      </c>
      <c r="B998" t="s">
        <v>55</v>
      </c>
      <c r="C998" s="8">
        <v>1800</v>
      </c>
      <c r="D998" s="7">
        <v>0</v>
      </c>
      <c r="E998" s="8">
        <v>0</v>
      </c>
      <c r="F998" s="8">
        <v>0</v>
      </c>
      <c r="G998" s="8">
        <v>1800</v>
      </c>
      <c r="H998" s="8">
        <v>0</v>
      </c>
      <c r="I998" s="8">
        <v>1800</v>
      </c>
      <c r="J998" s="7">
        <v>100213</v>
      </c>
    </row>
    <row r="999" spans="1:10" x14ac:dyDescent="0.3">
      <c r="A999" s="10">
        <v>43959</v>
      </c>
      <c r="B999" t="s">
        <v>55</v>
      </c>
      <c r="C999" s="8">
        <v>250.07</v>
      </c>
      <c r="D999" s="7">
        <v>25.73</v>
      </c>
      <c r="E999" s="8">
        <v>71.83</v>
      </c>
      <c r="F999" s="8">
        <v>450</v>
      </c>
      <c r="G999" s="8">
        <v>771.9</v>
      </c>
      <c r="H999" s="8">
        <v>107.04</v>
      </c>
      <c r="I999" s="8">
        <v>878.94</v>
      </c>
      <c r="J999" s="7" t="s">
        <v>14</v>
      </c>
    </row>
    <row r="1000" spans="1:10" x14ac:dyDescent="0.3">
      <c r="A1000" s="10">
        <v>43959</v>
      </c>
      <c r="B1000" t="s">
        <v>55</v>
      </c>
      <c r="C1000" s="8">
        <v>450</v>
      </c>
      <c r="D1000" s="7">
        <v>0</v>
      </c>
      <c r="E1000" s="8">
        <v>0</v>
      </c>
      <c r="F1000" s="8">
        <v>0</v>
      </c>
      <c r="G1000" s="8">
        <v>450</v>
      </c>
      <c r="H1000" s="8">
        <v>0</v>
      </c>
      <c r="I1000" s="8">
        <v>450</v>
      </c>
      <c r="J1000" s="7" t="s">
        <v>14</v>
      </c>
    </row>
    <row r="1001" spans="1:10" x14ac:dyDescent="0.3">
      <c r="A1001" s="10">
        <v>43973</v>
      </c>
      <c r="B1001" t="s">
        <v>55</v>
      </c>
      <c r="C1001" s="8">
        <v>435.34</v>
      </c>
      <c r="D1001" s="7">
        <v>16</v>
      </c>
      <c r="E1001" s="8">
        <v>44.66</v>
      </c>
      <c r="F1001" s="8">
        <v>0</v>
      </c>
      <c r="G1001" s="8">
        <v>480</v>
      </c>
      <c r="H1001" s="8">
        <v>66.56</v>
      </c>
      <c r="I1001" s="8">
        <v>546.55999999999995</v>
      </c>
      <c r="J1001" s="7" t="s">
        <v>14</v>
      </c>
    </row>
    <row r="1002" spans="1:10" x14ac:dyDescent="0.3">
      <c r="A1002" s="10">
        <v>43987</v>
      </c>
      <c r="B1002" t="s">
        <v>55</v>
      </c>
      <c r="C1002" s="8">
        <v>1829.45</v>
      </c>
      <c r="D1002" s="7">
        <v>72</v>
      </c>
      <c r="E1002" s="8">
        <v>330.55</v>
      </c>
      <c r="F1002" s="8">
        <v>0</v>
      </c>
      <c r="G1002" s="8">
        <v>2160</v>
      </c>
      <c r="H1002" s="8">
        <v>299.52999999999997</v>
      </c>
      <c r="I1002" s="8">
        <v>2459.5300000000002</v>
      </c>
      <c r="J1002" s="7" t="s">
        <v>14</v>
      </c>
    </row>
    <row r="1003" spans="1:10" x14ac:dyDescent="0.3">
      <c r="A1003" s="21" t="s">
        <v>15</v>
      </c>
      <c r="B1003" s="22" t="str">
        <f>+B1002</f>
        <v>Manuel Camus Valdes</v>
      </c>
      <c r="C1003" s="23">
        <f>SUM(C946:C1002)</f>
        <v>82578.33</v>
      </c>
      <c r="D1003" s="23">
        <f t="shared" ref="D1003:I1003" si="39">SUM(D946:D1002)</f>
        <v>2851.11</v>
      </c>
      <c r="E1003" s="23">
        <f t="shared" si="39"/>
        <v>13672.289999999997</v>
      </c>
      <c r="F1003" s="23">
        <f t="shared" si="39"/>
        <v>4743.0000000000009</v>
      </c>
      <c r="G1003" s="23">
        <f t="shared" si="39"/>
        <v>100993.61999999998</v>
      </c>
      <c r="H1003" s="23">
        <f t="shared" si="39"/>
        <v>14030.650000000005</v>
      </c>
      <c r="I1003" s="23">
        <f t="shared" si="39"/>
        <v>115024.26999999999</v>
      </c>
      <c r="J1003" s="24"/>
    </row>
    <row r="1004" spans="1:10" x14ac:dyDescent="0.3">
      <c r="A1004" s="10">
        <v>43511</v>
      </c>
      <c r="B1004" t="s">
        <v>56</v>
      </c>
      <c r="C1004" s="8">
        <v>1717</v>
      </c>
      <c r="D1004" s="7">
        <v>80</v>
      </c>
      <c r="E1004" s="8">
        <v>193.48</v>
      </c>
      <c r="F1004" s="8">
        <v>0</v>
      </c>
      <c r="G1004" s="8">
        <v>1910.48</v>
      </c>
      <c r="H1004" s="8">
        <v>352.73</v>
      </c>
      <c r="I1004" s="8">
        <v>2263.21</v>
      </c>
      <c r="J1004" s="7" t="s">
        <v>14</v>
      </c>
    </row>
    <row r="1005" spans="1:10" x14ac:dyDescent="0.3">
      <c r="A1005" s="10">
        <v>43511</v>
      </c>
      <c r="B1005" t="s">
        <v>56</v>
      </c>
      <c r="C1005" s="8">
        <v>0</v>
      </c>
      <c r="D1005" s="7">
        <v>0</v>
      </c>
      <c r="E1005" s="8">
        <v>-0.01</v>
      </c>
      <c r="F1005" s="8">
        <v>0.01</v>
      </c>
      <c r="G1005" s="8">
        <v>0</v>
      </c>
      <c r="H1005" s="8">
        <v>0</v>
      </c>
      <c r="I1005" s="8">
        <v>0</v>
      </c>
    </row>
    <row r="1006" spans="1:10" x14ac:dyDescent="0.3">
      <c r="A1006" s="10">
        <v>43523</v>
      </c>
      <c r="B1006" t="s">
        <v>56</v>
      </c>
      <c r="C1006" s="8">
        <v>880</v>
      </c>
      <c r="D1006" s="7">
        <v>0</v>
      </c>
      <c r="E1006" s="8">
        <v>97.27</v>
      </c>
      <c r="F1006" s="8">
        <v>0</v>
      </c>
      <c r="G1006" s="8">
        <v>977.27</v>
      </c>
      <c r="H1006" s="8">
        <v>98.32</v>
      </c>
      <c r="I1006" s="8">
        <v>1075.5899999999999</v>
      </c>
      <c r="J1006" s="7" t="s">
        <v>14</v>
      </c>
    </row>
    <row r="1007" spans="1:10" x14ac:dyDescent="0.3">
      <c r="A1007" s="10">
        <v>43523</v>
      </c>
      <c r="B1007" t="s">
        <v>56</v>
      </c>
      <c r="C1007" s="8">
        <v>0</v>
      </c>
      <c r="D1007" s="7">
        <v>0</v>
      </c>
      <c r="E1007" s="8">
        <v>-0.01</v>
      </c>
      <c r="F1007" s="8">
        <v>0.01</v>
      </c>
      <c r="G1007" s="8">
        <v>0</v>
      </c>
      <c r="H1007" s="8">
        <v>0</v>
      </c>
      <c r="I1007" s="8">
        <v>0</v>
      </c>
    </row>
    <row r="1008" spans="1:10" x14ac:dyDescent="0.3">
      <c r="A1008" s="10">
        <v>43539</v>
      </c>
      <c r="B1008" t="s">
        <v>56</v>
      </c>
      <c r="C1008" s="8">
        <v>0</v>
      </c>
      <c r="D1008" s="7">
        <v>0</v>
      </c>
      <c r="E1008" s="8">
        <v>-0.01</v>
      </c>
      <c r="F1008" s="8">
        <v>0.01</v>
      </c>
      <c r="G1008" s="8">
        <v>0</v>
      </c>
      <c r="H1008" s="8">
        <v>0</v>
      </c>
      <c r="I1008" s="8">
        <v>0</v>
      </c>
    </row>
    <row r="1009" spans="1:10" x14ac:dyDescent="0.3">
      <c r="A1009" s="10">
        <v>43539</v>
      </c>
      <c r="B1009" t="s">
        <v>56</v>
      </c>
      <c r="C1009" s="8">
        <v>1514</v>
      </c>
      <c r="D1009" s="7">
        <v>80</v>
      </c>
      <c r="E1009" s="8">
        <v>312.88</v>
      </c>
      <c r="F1009" s="8">
        <v>75</v>
      </c>
      <c r="G1009" s="8">
        <v>1901.88</v>
      </c>
      <c r="H1009" s="8">
        <v>351.87</v>
      </c>
      <c r="I1009" s="8">
        <v>2253.75</v>
      </c>
      <c r="J1009" s="7" t="s">
        <v>14</v>
      </c>
    </row>
    <row r="1010" spans="1:10" x14ac:dyDescent="0.3">
      <c r="A1010" s="10">
        <v>43553</v>
      </c>
      <c r="B1010" t="s">
        <v>56</v>
      </c>
      <c r="C1010" s="8">
        <v>0</v>
      </c>
      <c r="D1010" s="7">
        <v>0</v>
      </c>
      <c r="E1010" s="8">
        <v>-0.01</v>
      </c>
      <c r="F1010" s="8">
        <v>0.01</v>
      </c>
      <c r="G1010" s="8">
        <v>0</v>
      </c>
      <c r="H1010" s="8">
        <v>0</v>
      </c>
      <c r="I1010" s="8">
        <v>0</v>
      </c>
    </row>
    <row r="1011" spans="1:10" x14ac:dyDescent="0.3">
      <c r="A1011" s="10">
        <v>43553</v>
      </c>
      <c r="B1011" t="s">
        <v>56</v>
      </c>
      <c r="C1011" s="8">
        <v>631</v>
      </c>
      <c r="D1011" s="7">
        <v>80</v>
      </c>
      <c r="E1011" s="8">
        <v>190.68</v>
      </c>
      <c r="F1011" s="8">
        <v>440</v>
      </c>
      <c r="G1011" s="8">
        <v>1261.68</v>
      </c>
      <c r="H1011" s="8">
        <v>287.45999999999998</v>
      </c>
      <c r="I1011" s="8">
        <v>1549.14</v>
      </c>
      <c r="J1011" s="7" t="s">
        <v>14</v>
      </c>
    </row>
    <row r="1012" spans="1:10" x14ac:dyDescent="0.3">
      <c r="A1012" s="10">
        <v>43553</v>
      </c>
      <c r="B1012" t="s">
        <v>56</v>
      </c>
      <c r="C1012" s="8">
        <v>0</v>
      </c>
      <c r="D1012" s="7">
        <v>0</v>
      </c>
      <c r="E1012" s="8">
        <v>0</v>
      </c>
      <c r="F1012" s="8">
        <v>0</v>
      </c>
      <c r="G1012" s="8">
        <v>0</v>
      </c>
      <c r="H1012" s="8">
        <v>-10.29</v>
      </c>
      <c r="I1012" s="8">
        <v>-10.29</v>
      </c>
    </row>
    <row r="1013" spans="1:10" x14ac:dyDescent="0.3">
      <c r="A1013" s="10">
        <v>43805</v>
      </c>
      <c r="B1013" t="s">
        <v>56</v>
      </c>
      <c r="C1013" s="8">
        <v>200.04</v>
      </c>
      <c r="D1013" s="7">
        <v>0</v>
      </c>
      <c r="E1013" s="8">
        <v>0</v>
      </c>
      <c r="F1013" s="8">
        <v>-0.04</v>
      </c>
      <c r="G1013" s="8">
        <v>200</v>
      </c>
      <c r="H1013" s="8">
        <v>0</v>
      </c>
      <c r="I1013" s="8">
        <v>200</v>
      </c>
      <c r="J1013" s="7">
        <v>100190</v>
      </c>
    </row>
    <row r="1014" spans="1:10" x14ac:dyDescent="0.3">
      <c r="A1014" s="10">
        <v>43819</v>
      </c>
      <c r="B1014" t="s">
        <v>56</v>
      </c>
      <c r="C1014" s="8">
        <v>1200</v>
      </c>
      <c r="D1014" s="7">
        <v>80</v>
      </c>
      <c r="E1014" s="8">
        <v>387.67</v>
      </c>
      <c r="F1014" s="8">
        <v>690</v>
      </c>
      <c r="G1014" s="8">
        <v>2277.67</v>
      </c>
      <c r="H1014" s="8">
        <v>377.84</v>
      </c>
      <c r="I1014" s="8">
        <v>2655.51</v>
      </c>
      <c r="J1014" s="7" t="s">
        <v>14</v>
      </c>
    </row>
    <row r="1015" spans="1:10" x14ac:dyDescent="0.3">
      <c r="A1015" s="10">
        <v>43833</v>
      </c>
      <c r="B1015" t="s">
        <v>56</v>
      </c>
      <c r="C1015" s="8">
        <v>1672</v>
      </c>
      <c r="D1015" s="7">
        <v>80</v>
      </c>
      <c r="E1015" s="8">
        <v>331.42</v>
      </c>
      <c r="F1015" s="8">
        <v>0</v>
      </c>
      <c r="G1015" s="8">
        <v>2003.42</v>
      </c>
      <c r="H1015" s="8">
        <v>358.68</v>
      </c>
      <c r="I1015" s="8">
        <v>2362.1</v>
      </c>
      <c r="J1015" s="7" t="s">
        <v>14</v>
      </c>
    </row>
    <row r="1016" spans="1:10" x14ac:dyDescent="0.3">
      <c r="A1016" s="10">
        <v>43847</v>
      </c>
      <c r="B1016" t="s">
        <v>56</v>
      </c>
      <c r="C1016" s="8">
        <v>1401</v>
      </c>
      <c r="D1016" s="7">
        <v>80</v>
      </c>
      <c r="E1016" s="8">
        <v>232.36</v>
      </c>
      <c r="F1016" s="8">
        <v>100</v>
      </c>
      <c r="G1016" s="8">
        <v>1733.36</v>
      </c>
      <c r="H1016" s="8">
        <v>308.98</v>
      </c>
      <c r="I1016" s="8">
        <v>2042.34</v>
      </c>
      <c r="J1016" s="7" t="s">
        <v>14</v>
      </c>
    </row>
    <row r="1017" spans="1:10" x14ac:dyDescent="0.3">
      <c r="A1017" s="10">
        <v>43861</v>
      </c>
      <c r="B1017" t="s">
        <v>56</v>
      </c>
      <c r="C1017" s="8">
        <v>0</v>
      </c>
      <c r="D1017" s="7">
        <v>0</v>
      </c>
      <c r="E1017" s="8">
        <v>0</v>
      </c>
      <c r="F1017" s="8">
        <v>0</v>
      </c>
      <c r="G1017" s="8">
        <v>0</v>
      </c>
      <c r="H1017" s="8">
        <v>-170.82</v>
      </c>
      <c r="I1017" s="8">
        <v>-170.82</v>
      </c>
    </row>
    <row r="1018" spans="1:10" x14ac:dyDescent="0.3">
      <c r="A1018" s="10">
        <v>43861</v>
      </c>
      <c r="B1018" t="s">
        <v>56</v>
      </c>
      <c r="C1018" s="8">
        <v>1850</v>
      </c>
      <c r="D1018" s="7">
        <v>80</v>
      </c>
      <c r="E1018" s="8">
        <v>310.83999999999997</v>
      </c>
      <c r="F1018" s="8">
        <v>50</v>
      </c>
      <c r="G1018" s="8">
        <v>2210.84</v>
      </c>
      <c r="H1018" s="8">
        <v>348.45</v>
      </c>
      <c r="I1018" s="8">
        <v>2559.29</v>
      </c>
      <c r="J1018" s="7" t="s">
        <v>14</v>
      </c>
    </row>
    <row r="1019" spans="1:10" x14ac:dyDescent="0.3">
      <c r="A1019" s="10">
        <v>43875</v>
      </c>
      <c r="B1019" t="s">
        <v>56</v>
      </c>
      <c r="C1019" s="8">
        <v>1726</v>
      </c>
      <c r="D1019" s="7">
        <v>80</v>
      </c>
      <c r="E1019" s="8">
        <v>277.35000000000002</v>
      </c>
      <c r="F1019" s="8">
        <v>50</v>
      </c>
      <c r="G1019" s="8">
        <v>2053.35</v>
      </c>
      <c r="H1019" s="8">
        <v>287</v>
      </c>
      <c r="I1019" s="8">
        <v>2340.35</v>
      </c>
      <c r="J1019" s="7" t="s">
        <v>14</v>
      </c>
    </row>
    <row r="1020" spans="1:10" x14ac:dyDescent="0.3">
      <c r="A1020" s="10">
        <v>43889</v>
      </c>
      <c r="B1020" t="s">
        <v>56</v>
      </c>
      <c r="C1020" s="8">
        <v>1970</v>
      </c>
      <c r="D1020" s="7">
        <v>80</v>
      </c>
      <c r="E1020" s="8">
        <v>325.89999999999998</v>
      </c>
      <c r="F1020" s="8">
        <v>50</v>
      </c>
      <c r="G1020" s="8">
        <v>2345.9</v>
      </c>
      <c r="H1020" s="8">
        <v>300.08</v>
      </c>
      <c r="I1020" s="8">
        <v>2645.98</v>
      </c>
      <c r="J1020" s="7" t="s">
        <v>14</v>
      </c>
    </row>
    <row r="1021" spans="1:10" x14ac:dyDescent="0.3">
      <c r="A1021" s="10">
        <v>43903</v>
      </c>
      <c r="B1021" t="s">
        <v>56</v>
      </c>
      <c r="C1021" s="8">
        <v>1660</v>
      </c>
      <c r="D1021" s="7">
        <v>80</v>
      </c>
      <c r="E1021" s="8">
        <v>264.2</v>
      </c>
      <c r="F1021" s="8">
        <v>50</v>
      </c>
      <c r="G1021" s="8">
        <v>1974.2</v>
      </c>
      <c r="H1021" s="8">
        <v>271.27</v>
      </c>
      <c r="I1021" s="8">
        <v>2245.4699999999998</v>
      </c>
      <c r="J1021" s="7" t="s">
        <v>14</v>
      </c>
    </row>
    <row r="1022" spans="1:10" x14ac:dyDescent="0.3">
      <c r="A1022" s="10">
        <v>43917</v>
      </c>
      <c r="B1022" t="s">
        <v>56</v>
      </c>
      <c r="C1022" s="8">
        <v>0</v>
      </c>
      <c r="D1022" s="7">
        <v>0</v>
      </c>
      <c r="E1022" s="8">
        <v>0</v>
      </c>
      <c r="F1022" s="8">
        <v>0</v>
      </c>
      <c r="G1022" s="8">
        <v>0</v>
      </c>
      <c r="H1022" s="8">
        <v>-195.25</v>
      </c>
      <c r="I1022" s="8">
        <v>-195.25</v>
      </c>
    </row>
    <row r="1023" spans="1:10" x14ac:dyDescent="0.3">
      <c r="A1023" s="10">
        <v>43917</v>
      </c>
      <c r="B1023" t="s">
        <v>56</v>
      </c>
      <c r="C1023" s="8">
        <v>1639.32</v>
      </c>
      <c r="D1023" s="7">
        <v>84</v>
      </c>
      <c r="E1023" s="8">
        <v>310.68</v>
      </c>
      <c r="F1023" s="8">
        <v>0</v>
      </c>
      <c r="G1023" s="8">
        <v>1950</v>
      </c>
      <c r="H1023" s="8">
        <v>297.81</v>
      </c>
      <c r="I1023" s="8">
        <v>2247.81</v>
      </c>
      <c r="J1023" s="7" t="s">
        <v>14</v>
      </c>
    </row>
    <row r="1024" spans="1:10" x14ac:dyDescent="0.3">
      <c r="A1024" s="10">
        <v>43917</v>
      </c>
      <c r="B1024" t="s">
        <v>56</v>
      </c>
      <c r="C1024" s="8">
        <v>0</v>
      </c>
      <c r="D1024" s="7">
        <v>0</v>
      </c>
      <c r="E1024" s="8">
        <v>0</v>
      </c>
      <c r="F1024" s="8">
        <v>0</v>
      </c>
      <c r="G1024" s="8">
        <v>0</v>
      </c>
      <c r="H1024" s="8">
        <v>1.28</v>
      </c>
      <c r="I1024" s="8">
        <v>1.28</v>
      </c>
    </row>
    <row r="1025" spans="1:10" x14ac:dyDescent="0.3">
      <c r="A1025" s="10">
        <v>43917</v>
      </c>
      <c r="B1025" t="s">
        <v>56</v>
      </c>
      <c r="C1025" s="8">
        <v>0</v>
      </c>
      <c r="D1025" s="7">
        <v>0</v>
      </c>
      <c r="E1025" s="8">
        <v>0</v>
      </c>
      <c r="F1025" s="8">
        <v>0</v>
      </c>
      <c r="G1025" s="8">
        <v>0</v>
      </c>
      <c r="H1025" s="8">
        <v>237.39</v>
      </c>
      <c r="I1025" s="8">
        <v>237.39</v>
      </c>
    </row>
    <row r="1026" spans="1:10" x14ac:dyDescent="0.3">
      <c r="A1026" s="10">
        <v>43931</v>
      </c>
      <c r="B1026" t="s">
        <v>56</v>
      </c>
      <c r="C1026" s="8">
        <v>0</v>
      </c>
      <c r="D1026" s="7">
        <v>0</v>
      </c>
      <c r="E1026" s="8">
        <v>0</v>
      </c>
      <c r="F1026" s="8">
        <v>0</v>
      </c>
      <c r="G1026" s="8">
        <v>0</v>
      </c>
      <c r="H1026" s="8">
        <v>0.09</v>
      </c>
      <c r="I1026" s="8">
        <v>0.09</v>
      </c>
    </row>
    <row r="1027" spans="1:10" x14ac:dyDescent="0.3">
      <c r="A1027" s="10">
        <v>43931</v>
      </c>
      <c r="B1027" t="s">
        <v>56</v>
      </c>
      <c r="C1027" s="8">
        <v>0</v>
      </c>
      <c r="D1027" s="7">
        <v>0</v>
      </c>
      <c r="E1027" s="8">
        <v>0</v>
      </c>
      <c r="F1027" s="8">
        <v>0</v>
      </c>
      <c r="G1027" s="8">
        <v>0</v>
      </c>
      <c r="H1027" s="8">
        <v>16.84</v>
      </c>
      <c r="I1027" s="8">
        <v>16.84</v>
      </c>
    </row>
    <row r="1028" spans="1:10" x14ac:dyDescent="0.3">
      <c r="A1028" s="10">
        <v>43931</v>
      </c>
      <c r="B1028" t="s">
        <v>56</v>
      </c>
      <c r="C1028" s="8">
        <v>800.88</v>
      </c>
      <c r="D1028" s="7">
        <v>40</v>
      </c>
      <c r="E1028" s="8">
        <v>99.12</v>
      </c>
      <c r="F1028" s="8">
        <v>0</v>
      </c>
      <c r="G1028" s="8">
        <v>900</v>
      </c>
      <c r="H1028" s="8">
        <v>139.82</v>
      </c>
      <c r="I1028" s="8">
        <v>1039.82</v>
      </c>
      <c r="J1028" s="7" t="s">
        <v>14</v>
      </c>
    </row>
    <row r="1029" spans="1:10" x14ac:dyDescent="0.3">
      <c r="A1029" s="10">
        <v>43931</v>
      </c>
      <c r="B1029" t="s">
        <v>56</v>
      </c>
      <c r="C1029" s="8">
        <v>0</v>
      </c>
      <c r="D1029" s="7">
        <v>0</v>
      </c>
      <c r="E1029" s="8">
        <v>0</v>
      </c>
      <c r="F1029" s="8">
        <v>0</v>
      </c>
      <c r="G1029" s="8">
        <v>0</v>
      </c>
      <c r="H1029" s="8">
        <v>-13.68</v>
      </c>
      <c r="I1029" s="8">
        <v>-13.68</v>
      </c>
    </row>
    <row r="1030" spans="1:10" x14ac:dyDescent="0.3">
      <c r="A1030" s="10">
        <v>43945</v>
      </c>
      <c r="B1030" t="s">
        <v>56</v>
      </c>
      <c r="C1030" s="8">
        <v>500.02</v>
      </c>
      <c r="D1030" s="7">
        <v>24.63</v>
      </c>
      <c r="E1030" s="8">
        <v>54.16</v>
      </c>
      <c r="F1030" s="8">
        <v>0</v>
      </c>
      <c r="G1030" s="8">
        <v>554.17999999999995</v>
      </c>
      <c r="H1030" s="8">
        <v>88.09</v>
      </c>
      <c r="I1030" s="8">
        <v>642.27</v>
      </c>
      <c r="J1030" s="7" t="s">
        <v>14</v>
      </c>
    </row>
    <row r="1031" spans="1:10" x14ac:dyDescent="0.3">
      <c r="A1031" s="10">
        <v>43959</v>
      </c>
      <c r="B1031" t="s">
        <v>56</v>
      </c>
      <c r="C1031" s="8">
        <v>700.04</v>
      </c>
      <c r="D1031" s="7">
        <v>32.020000000000003</v>
      </c>
      <c r="E1031" s="8">
        <v>70.41</v>
      </c>
      <c r="F1031" s="8">
        <v>0</v>
      </c>
      <c r="G1031" s="8">
        <v>770.45</v>
      </c>
      <c r="H1031" s="8">
        <v>114.52</v>
      </c>
      <c r="I1031" s="8">
        <v>884.97</v>
      </c>
      <c r="J1031" s="7" t="s">
        <v>14</v>
      </c>
    </row>
    <row r="1032" spans="1:10" x14ac:dyDescent="0.3">
      <c r="A1032" s="10">
        <v>43973</v>
      </c>
      <c r="B1032" t="s">
        <v>56</v>
      </c>
      <c r="C1032" s="8">
        <v>300</v>
      </c>
      <c r="D1032" s="7">
        <v>14.78</v>
      </c>
      <c r="E1032" s="8">
        <v>32.5</v>
      </c>
      <c r="F1032" s="8">
        <v>0</v>
      </c>
      <c r="G1032" s="8">
        <v>332.5</v>
      </c>
      <c r="H1032" s="8">
        <v>52.87</v>
      </c>
      <c r="I1032" s="8">
        <v>385.37</v>
      </c>
      <c r="J1032" s="7" t="s">
        <v>14</v>
      </c>
    </row>
    <row r="1033" spans="1:10" x14ac:dyDescent="0.3">
      <c r="A1033" s="10">
        <v>43987</v>
      </c>
      <c r="B1033" t="s">
        <v>56</v>
      </c>
      <c r="C1033" s="8">
        <v>1717.48</v>
      </c>
      <c r="D1033" s="7">
        <v>87.5</v>
      </c>
      <c r="E1033" s="8">
        <v>335.65</v>
      </c>
      <c r="F1033" s="8">
        <v>0</v>
      </c>
      <c r="G1033" s="8">
        <v>2053.13</v>
      </c>
      <c r="H1033" s="8">
        <v>319.51</v>
      </c>
      <c r="I1033" s="8">
        <v>2372.64</v>
      </c>
      <c r="J1033" s="7" t="s">
        <v>14</v>
      </c>
    </row>
    <row r="1034" spans="1:10" x14ac:dyDescent="0.3">
      <c r="A1034" s="21" t="s">
        <v>15</v>
      </c>
      <c r="B1034" s="22" t="str">
        <f>+B1033</f>
        <v>MARCO P. VILLASENOR HARBOLTE</v>
      </c>
      <c r="C1034" s="23">
        <f>SUM(C1004:C1033)</f>
        <v>22078.780000000002</v>
      </c>
      <c r="D1034" s="23">
        <f t="shared" ref="D1034:I1034" si="40">SUM(D1004:D1033)</f>
        <v>1082.9299999999998</v>
      </c>
      <c r="E1034" s="23">
        <f t="shared" si="40"/>
        <v>3826.5299999999997</v>
      </c>
      <c r="F1034" s="23">
        <f t="shared" si="40"/>
        <v>1505</v>
      </c>
      <c r="G1034" s="23">
        <f t="shared" si="40"/>
        <v>27410.310000000005</v>
      </c>
      <c r="H1034" s="23">
        <f t="shared" si="40"/>
        <v>4220.8600000000006</v>
      </c>
      <c r="I1034" s="23">
        <f t="shared" si="40"/>
        <v>31631.17</v>
      </c>
      <c r="J1034" s="24"/>
    </row>
    <row r="1035" spans="1:10" x14ac:dyDescent="0.3">
      <c r="A1035" s="10">
        <v>43875</v>
      </c>
      <c r="B1035" t="s">
        <v>57</v>
      </c>
      <c r="C1035" s="8">
        <v>1822</v>
      </c>
      <c r="D1035" s="7">
        <v>80</v>
      </c>
      <c r="E1035" s="8">
        <v>181.61</v>
      </c>
      <c r="F1035" s="8">
        <v>50</v>
      </c>
      <c r="G1035" s="8">
        <v>2053.61</v>
      </c>
      <c r="H1035" s="8">
        <v>297.55</v>
      </c>
      <c r="I1035" s="8">
        <v>2351.16</v>
      </c>
      <c r="J1035" s="7" t="s">
        <v>14</v>
      </c>
    </row>
    <row r="1036" spans="1:10" x14ac:dyDescent="0.3">
      <c r="A1036" s="10">
        <v>43889</v>
      </c>
      <c r="B1036" t="s">
        <v>57</v>
      </c>
      <c r="C1036" s="8">
        <v>2386</v>
      </c>
      <c r="D1036" s="7">
        <v>80</v>
      </c>
      <c r="E1036" s="8">
        <v>226.2</v>
      </c>
      <c r="F1036" s="8">
        <v>50</v>
      </c>
      <c r="G1036" s="8">
        <v>2662.2</v>
      </c>
      <c r="H1036" s="8">
        <v>353.36</v>
      </c>
      <c r="I1036" s="8">
        <v>3015.56</v>
      </c>
      <c r="J1036" s="7" t="s">
        <v>14</v>
      </c>
    </row>
    <row r="1037" spans="1:10" x14ac:dyDescent="0.3">
      <c r="A1037" s="10">
        <v>43903</v>
      </c>
      <c r="B1037" t="s">
        <v>57</v>
      </c>
      <c r="C1037" s="8">
        <v>2266</v>
      </c>
      <c r="D1037" s="7">
        <v>80</v>
      </c>
      <c r="E1037" s="8">
        <v>216.7</v>
      </c>
      <c r="F1037" s="8">
        <v>50</v>
      </c>
      <c r="G1037" s="8">
        <v>2532.6999999999998</v>
      </c>
      <c r="H1037" s="8">
        <v>341.46</v>
      </c>
      <c r="I1037" s="8">
        <v>2874.16</v>
      </c>
      <c r="J1037" s="7" t="s">
        <v>14</v>
      </c>
    </row>
    <row r="1038" spans="1:10" x14ac:dyDescent="0.3">
      <c r="A1038" s="10">
        <v>43917</v>
      </c>
      <c r="B1038" t="s">
        <v>57</v>
      </c>
      <c r="C1038" s="8">
        <v>0</v>
      </c>
      <c r="D1038" s="7">
        <v>0</v>
      </c>
      <c r="E1038" s="8">
        <v>0</v>
      </c>
      <c r="F1038" s="8">
        <v>0</v>
      </c>
      <c r="G1038" s="8">
        <v>0</v>
      </c>
      <c r="H1038" s="8">
        <v>136.37</v>
      </c>
      <c r="I1038" s="8">
        <v>136.37</v>
      </c>
    </row>
    <row r="1039" spans="1:10" x14ac:dyDescent="0.3">
      <c r="A1039" s="10">
        <v>43917</v>
      </c>
      <c r="B1039" t="s">
        <v>57</v>
      </c>
      <c r="C1039" s="8">
        <v>0</v>
      </c>
      <c r="D1039" s="7">
        <v>0</v>
      </c>
      <c r="E1039" s="8">
        <v>0</v>
      </c>
      <c r="F1039" s="8">
        <v>0</v>
      </c>
      <c r="G1039" s="8">
        <v>0</v>
      </c>
      <c r="H1039" s="8">
        <v>0.91</v>
      </c>
      <c r="I1039" s="8">
        <v>0.91</v>
      </c>
    </row>
    <row r="1040" spans="1:10" x14ac:dyDescent="0.3">
      <c r="A1040" s="10">
        <v>43917</v>
      </c>
      <c r="B1040" t="s">
        <v>57</v>
      </c>
      <c r="C1040" s="8">
        <v>0</v>
      </c>
      <c r="D1040" s="7">
        <v>0</v>
      </c>
      <c r="E1040" s="8">
        <v>0</v>
      </c>
      <c r="F1040" s="8">
        <v>0</v>
      </c>
      <c r="G1040" s="8">
        <v>0</v>
      </c>
      <c r="H1040" s="8">
        <v>-136.63</v>
      </c>
      <c r="I1040" s="8">
        <v>-136.63</v>
      </c>
    </row>
    <row r="1041" spans="1:10" x14ac:dyDescent="0.3">
      <c r="A1041" s="10">
        <v>43917</v>
      </c>
      <c r="B1041" t="s">
        <v>57</v>
      </c>
      <c r="C1041" s="8">
        <v>2107.7399999999998</v>
      </c>
      <c r="D1041" s="7">
        <v>84</v>
      </c>
      <c r="E1041" s="8">
        <v>222.26</v>
      </c>
      <c r="F1041" s="8">
        <v>35</v>
      </c>
      <c r="G1041" s="8">
        <v>2365</v>
      </c>
      <c r="H1041" s="8">
        <v>340</v>
      </c>
      <c r="I1041" s="8">
        <v>2705</v>
      </c>
      <c r="J1041" s="7" t="s">
        <v>14</v>
      </c>
    </row>
    <row r="1042" spans="1:10" x14ac:dyDescent="0.3">
      <c r="A1042" s="10">
        <v>43931</v>
      </c>
      <c r="B1042" t="s">
        <v>57</v>
      </c>
      <c r="C1042" s="8">
        <v>0</v>
      </c>
      <c r="D1042" s="7">
        <v>0</v>
      </c>
      <c r="E1042" s="8">
        <v>0</v>
      </c>
      <c r="F1042" s="8">
        <v>0</v>
      </c>
      <c r="G1042" s="8">
        <v>0</v>
      </c>
      <c r="H1042" s="8">
        <v>16.84</v>
      </c>
      <c r="I1042" s="8">
        <v>16.84</v>
      </c>
    </row>
    <row r="1043" spans="1:10" x14ac:dyDescent="0.3">
      <c r="A1043" s="10">
        <v>43931</v>
      </c>
      <c r="B1043" t="s">
        <v>57</v>
      </c>
      <c r="C1043" s="8">
        <v>996.23</v>
      </c>
      <c r="D1043" s="7">
        <v>40</v>
      </c>
      <c r="E1043" s="8">
        <v>103.77</v>
      </c>
      <c r="F1043" s="8">
        <v>0</v>
      </c>
      <c r="G1043" s="8">
        <v>1100</v>
      </c>
      <c r="H1043" s="8">
        <v>158.4</v>
      </c>
      <c r="I1043" s="8">
        <v>1258.4000000000001</v>
      </c>
      <c r="J1043" s="7" t="s">
        <v>14</v>
      </c>
    </row>
    <row r="1044" spans="1:10" x14ac:dyDescent="0.3">
      <c r="A1044" s="10">
        <v>43931</v>
      </c>
      <c r="B1044" t="s">
        <v>57</v>
      </c>
      <c r="C1044" s="8">
        <v>0</v>
      </c>
      <c r="D1044" s="7">
        <v>0</v>
      </c>
      <c r="E1044" s="8">
        <v>0</v>
      </c>
      <c r="F1044" s="8">
        <v>0</v>
      </c>
      <c r="G1044" s="8">
        <v>0</v>
      </c>
      <c r="H1044" s="8">
        <v>0.11</v>
      </c>
      <c r="I1044" s="8">
        <v>0.11</v>
      </c>
    </row>
    <row r="1045" spans="1:10" x14ac:dyDescent="0.3">
      <c r="A1045" s="10">
        <v>43931</v>
      </c>
      <c r="B1045" t="s">
        <v>57</v>
      </c>
      <c r="C1045" s="8">
        <v>0</v>
      </c>
      <c r="D1045" s="7">
        <v>0</v>
      </c>
      <c r="E1045" s="8">
        <v>0</v>
      </c>
      <c r="F1045" s="8">
        <v>0</v>
      </c>
      <c r="G1045" s="8">
        <v>0</v>
      </c>
      <c r="H1045" s="8">
        <v>-16.72</v>
      </c>
      <c r="I1045" s="8">
        <v>-16.72</v>
      </c>
    </row>
    <row r="1046" spans="1:10" x14ac:dyDescent="0.3">
      <c r="A1046" s="10">
        <v>43945</v>
      </c>
      <c r="B1046" t="s">
        <v>57</v>
      </c>
      <c r="C1046" s="8">
        <v>500.11</v>
      </c>
      <c r="D1046" s="7">
        <v>20.079999999999998</v>
      </c>
      <c r="E1046" s="8">
        <v>52.09</v>
      </c>
      <c r="F1046" s="8">
        <v>0</v>
      </c>
      <c r="G1046" s="8">
        <v>552.20000000000005</v>
      </c>
      <c r="H1046" s="8">
        <v>79.63</v>
      </c>
      <c r="I1046" s="8">
        <v>631.83000000000004</v>
      </c>
      <c r="J1046" s="7" t="s">
        <v>14</v>
      </c>
    </row>
    <row r="1047" spans="1:10" x14ac:dyDescent="0.3">
      <c r="A1047" s="10">
        <v>43959</v>
      </c>
      <c r="B1047" t="s">
        <v>57</v>
      </c>
      <c r="C1047" s="8">
        <v>700.1</v>
      </c>
      <c r="D1047" s="7">
        <v>28.11</v>
      </c>
      <c r="E1047" s="8">
        <v>72.930000000000007</v>
      </c>
      <c r="F1047" s="8">
        <v>0</v>
      </c>
      <c r="G1047" s="8">
        <v>773.03</v>
      </c>
      <c r="H1047" s="8">
        <v>111.48</v>
      </c>
      <c r="I1047" s="8">
        <v>884.51</v>
      </c>
      <c r="J1047" s="7" t="s">
        <v>14</v>
      </c>
    </row>
    <row r="1048" spans="1:10" x14ac:dyDescent="0.3">
      <c r="A1048" s="10">
        <v>43973</v>
      </c>
      <c r="B1048" t="s">
        <v>57</v>
      </c>
      <c r="C1048" s="8">
        <v>996.23</v>
      </c>
      <c r="D1048" s="7">
        <v>40</v>
      </c>
      <c r="E1048" s="8">
        <v>103.77</v>
      </c>
      <c r="F1048" s="8">
        <v>0</v>
      </c>
      <c r="G1048" s="8">
        <v>1100</v>
      </c>
      <c r="H1048" s="8">
        <v>158.62</v>
      </c>
      <c r="I1048" s="8">
        <v>1258.6199999999999</v>
      </c>
      <c r="J1048" s="7" t="s">
        <v>14</v>
      </c>
    </row>
    <row r="1049" spans="1:10" x14ac:dyDescent="0.3">
      <c r="A1049" s="10">
        <v>43987</v>
      </c>
      <c r="B1049" t="s">
        <v>57</v>
      </c>
      <c r="C1049" s="8">
        <v>1905.82</v>
      </c>
      <c r="D1049" s="7">
        <v>72.5</v>
      </c>
      <c r="E1049" s="8">
        <v>196.68</v>
      </c>
      <c r="F1049" s="8">
        <v>0</v>
      </c>
      <c r="G1049" s="8">
        <v>2102.5</v>
      </c>
      <c r="H1049" s="8">
        <v>295.95999999999998</v>
      </c>
      <c r="I1049" s="8">
        <v>2398.46</v>
      </c>
      <c r="J1049" s="7" t="s">
        <v>14</v>
      </c>
    </row>
    <row r="1050" spans="1:10" x14ac:dyDescent="0.3">
      <c r="A1050" s="21" t="s">
        <v>15</v>
      </c>
      <c r="B1050" s="22" t="str">
        <f>+B1049</f>
        <v>Miguel A. Alfaro Pinto</v>
      </c>
      <c r="C1050" s="23">
        <f t="shared" ref="C1050:I1050" si="41">SUM(C1035:C1049)</f>
        <v>13680.23</v>
      </c>
      <c r="D1050" s="23">
        <f t="shared" si="41"/>
        <v>524.69000000000005</v>
      </c>
      <c r="E1050" s="23">
        <f t="shared" si="41"/>
        <v>1376.01</v>
      </c>
      <c r="F1050" s="23">
        <f t="shared" si="41"/>
        <v>185</v>
      </c>
      <c r="G1050" s="23">
        <f t="shared" si="41"/>
        <v>15241.24</v>
      </c>
      <c r="H1050" s="23">
        <f t="shared" si="41"/>
        <v>2137.34</v>
      </c>
      <c r="I1050" s="23">
        <f t="shared" si="41"/>
        <v>17378.580000000002</v>
      </c>
      <c r="J1050" s="24"/>
    </row>
    <row r="1051" spans="1:10" x14ac:dyDescent="0.3">
      <c r="A1051" s="10">
        <v>43497</v>
      </c>
      <c r="B1051" t="s">
        <v>58</v>
      </c>
      <c r="C1051" s="8">
        <v>0</v>
      </c>
      <c r="D1051" s="7">
        <v>0</v>
      </c>
      <c r="E1051" s="8">
        <v>-0.01</v>
      </c>
      <c r="F1051" s="8">
        <v>0.01</v>
      </c>
      <c r="G1051" s="8">
        <v>0</v>
      </c>
      <c r="H1051" s="8">
        <v>0</v>
      </c>
      <c r="I1051" s="8">
        <v>0</v>
      </c>
    </row>
    <row r="1052" spans="1:10" x14ac:dyDescent="0.3">
      <c r="A1052" s="10">
        <v>43497</v>
      </c>
      <c r="B1052" t="s">
        <v>58</v>
      </c>
      <c r="C1052" s="8">
        <v>2170</v>
      </c>
      <c r="D1052" s="7">
        <v>80</v>
      </c>
      <c r="E1052" s="8">
        <v>566.59</v>
      </c>
      <c r="F1052" s="8">
        <v>440</v>
      </c>
      <c r="G1052" s="8">
        <v>3176.59</v>
      </c>
      <c r="H1052" s="8">
        <v>480.11</v>
      </c>
      <c r="I1052" s="8">
        <v>3656.7</v>
      </c>
      <c r="J1052" s="7">
        <v>100146</v>
      </c>
    </row>
    <row r="1053" spans="1:10" x14ac:dyDescent="0.3">
      <c r="A1053" s="10">
        <v>43511</v>
      </c>
      <c r="B1053" t="s">
        <v>58</v>
      </c>
      <c r="C1053" s="8">
        <v>0</v>
      </c>
      <c r="D1053" s="7">
        <v>0</v>
      </c>
      <c r="E1053" s="8">
        <v>-0.01</v>
      </c>
      <c r="F1053" s="8">
        <v>0.01</v>
      </c>
      <c r="G1053" s="8">
        <v>0</v>
      </c>
      <c r="H1053" s="8">
        <v>0</v>
      </c>
      <c r="I1053" s="8">
        <v>0</v>
      </c>
    </row>
    <row r="1054" spans="1:10" x14ac:dyDescent="0.3">
      <c r="A1054" s="10">
        <v>43511</v>
      </c>
      <c r="B1054" t="s">
        <v>58</v>
      </c>
      <c r="C1054" s="8">
        <v>2063</v>
      </c>
      <c r="D1054" s="7">
        <v>80</v>
      </c>
      <c r="E1054" s="8">
        <v>242.48</v>
      </c>
      <c r="F1054" s="8">
        <v>225</v>
      </c>
      <c r="G1054" s="8">
        <v>2530.48</v>
      </c>
      <c r="H1054" s="8">
        <v>415.11</v>
      </c>
      <c r="I1054" s="8">
        <v>2945.59</v>
      </c>
      <c r="J1054" s="7" t="s">
        <v>14</v>
      </c>
    </row>
    <row r="1055" spans="1:10" x14ac:dyDescent="0.3">
      <c r="A1055" s="10">
        <v>43523</v>
      </c>
      <c r="B1055" t="s">
        <v>58</v>
      </c>
      <c r="C1055" s="8">
        <v>2041</v>
      </c>
      <c r="D1055" s="7">
        <v>0</v>
      </c>
      <c r="E1055" s="8">
        <v>372.13</v>
      </c>
      <c r="F1055" s="8">
        <v>0</v>
      </c>
      <c r="G1055" s="8">
        <v>2413.13</v>
      </c>
      <c r="H1055" s="8">
        <v>236.03</v>
      </c>
      <c r="I1055" s="8">
        <v>2649.16</v>
      </c>
      <c r="J1055" s="7" t="s">
        <v>14</v>
      </c>
    </row>
    <row r="1056" spans="1:10" x14ac:dyDescent="0.3">
      <c r="A1056" s="10">
        <v>43539</v>
      </c>
      <c r="B1056" t="s">
        <v>58</v>
      </c>
      <c r="C1056" s="8">
        <v>885</v>
      </c>
      <c r="D1056" s="7">
        <v>80</v>
      </c>
      <c r="E1056" s="8">
        <v>150.12</v>
      </c>
      <c r="F1056" s="8">
        <v>0</v>
      </c>
      <c r="G1056" s="8">
        <v>1035.1199999999999</v>
      </c>
      <c r="H1056" s="8">
        <v>258.47000000000003</v>
      </c>
      <c r="I1056" s="8">
        <v>1293.5899999999999</v>
      </c>
      <c r="J1056" s="7" t="s">
        <v>14</v>
      </c>
    </row>
    <row r="1057" spans="1:10" x14ac:dyDescent="0.3">
      <c r="A1057" s="10">
        <v>43553</v>
      </c>
      <c r="B1057" t="s">
        <v>58</v>
      </c>
      <c r="C1057" s="8">
        <v>0</v>
      </c>
      <c r="D1057" s="7">
        <v>0</v>
      </c>
      <c r="E1057" s="8">
        <v>-0.01</v>
      </c>
      <c r="F1057" s="8">
        <v>0.01</v>
      </c>
      <c r="G1057" s="8">
        <v>0</v>
      </c>
      <c r="H1057" s="8">
        <v>0</v>
      </c>
      <c r="I1057" s="8">
        <v>0</v>
      </c>
    </row>
    <row r="1058" spans="1:10" x14ac:dyDescent="0.3">
      <c r="A1058" s="10">
        <v>43553</v>
      </c>
      <c r="B1058" t="s">
        <v>58</v>
      </c>
      <c r="C1058" s="8">
        <v>2093</v>
      </c>
      <c r="D1058" s="7">
        <v>80</v>
      </c>
      <c r="E1058" s="8">
        <v>438.11</v>
      </c>
      <c r="F1058" s="8">
        <v>0</v>
      </c>
      <c r="G1058" s="8">
        <v>2531.11</v>
      </c>
      <c r="H1058" s="8">
        <v>399.99</v>
      </c>
      <c r="I1058" s="8">
        <v>2931.1</v>
      </c>
      <c r="J1058" s="7" t="s">
        <v>14</v>
      </c>
    </row>
    <row r="1059" spans="1:10" x14ac:dyDescent="0.3">
      <c r="A1059" s="10">
        <v>43553</v>
      </c>
      <c r="B1059" t="s">
        <v>58</v>
      </c>
      <c r="C1059" s="8">
        <v>0</v>
      </c>
      <c r="D1059" s="7">
        <v>0</v>
      </c>
      <c r="E1059" s="8">
        <v>0</v>
      </c>
      <c r="F1059" s="8">
        <v>0</v>
      </c>
      <c r="G1059" s="8">
        <v>0</v>
      </c>
      <c r="H1059" s="8">
        <v>-19.87</v>
      </c>
      <c r="I1059" s="8">
        <v>-19.87</v>
      </c>
    </row>
    <row r="1060" spans="1:10" x14ac:dyDescent="0.3">
      <c r="A1060" s="10">
        <v>43567</v>
      </c>
      <c r="B1060" t="s">
        <v>58</v>
      </c>
      <c r="C1060" s="8">
        <v>2093</v>
      </c>
      <c r="D1060" s="7">
        <v>80</v>
      </c>
      <c r="E1060" s="8">
        <v>438.11</v>
      </c>
      <c r="F1060" s="8">
        <v>0</v>
      </c>
      <c r="G1060" s="8">
        <v>2531.11</v>
      </c>
      <c r="H1060" s="8">
        <v>399.99</v>
      </c>
      <c r="I1060" s="8">
        <v>2931.1</v>
      </c>
      <c r="J1060" s="7" t="s">
        <v>14</v>
      </c>
    </row>
    <row r="1061" spans="1:10" x14ac:dyDescent="0.3">
      <c r="A1061" s="10">
        <v>43567</v>
      </c>
      <c r="B1061" t="s">
        <v>58</v>
      </c>
      <c r="C1061" s="8">
        <v>0</v>
      </c>
      <c r="D1061" s="7">
        <v>0</v>
      </c>
      <c r="E1061" s="8">
        <v>0</v>
      </c>
      <c r="F1061" s="8">
        <v>0</v>
      </c>
      <c r="G1061" s="8">
        <v>0</v>
      </c>
      <c r="H1061" s="8">
        <v>-4.3099999999999996</v>
      </c>
      <c r="I1061" s="8">
        <v>-4.3099999999999996</v>
      </c>
    </row>
    <row r="1062" spans="1:10" x14ac:dyDescent="0.3">
      <c r="A1062" s="10">
        <v>43567</v>
      </c>
      <c r="B1062" t="s">
        <v>58</v>
      </c>
      <c r="C1062" s="8">
        <v>0</v>
      </c>
      <c r="D1062" s="7">
        <v>0</v>
      </c>
      <c r="E1062" s="8">
        <v>-0.01</v>
      </c>
      <c r="F1062" s="8">
        <v>0.01</v>
      </c>
      <c r="G1062" s="8">
        <v>0</v>
      </c>
      <c r="H1062" s="8">
        <v>0</v>
      </c>
      <c r="I1062" s="8">
        <v>0</v>
      </c>
    </row>
    <row r="1063" spans="1:10" x14ac:dyDescent="0.3">
      <c r="A1063" s="10">
        <v>43903</v>
      </c>
      <c r="B1063" t="s">
        <v>58</v>
      </c>
      <c r="C1063" s="8">
        <v>920</v>
      </c>
      <c r="D1063" s="7">
        <v>40</v>
      </c>
      <c r="E1063" s="8">
        <v>102.7</v>
      </c>
      <c r="F1063" s="8">
        <v>0</v>
      </c>
      <c r="G1063" s="8">
        <v>1022.7</v>
      </c>
      <c r="H1063" s="8">
        <v>147.19999999999999</v>
      </c>
      <c r="I1063" s="8">
        <v>1169.9000000000001</v>
      </c>
      <c r="J1063" s="7" t="s">
        <v>14</v>
      </c>
    </row>
    <row r="1064" spans="1:10" x14ac:dyDescent="0.3">
      <c r="A1064" s="10">
        <v>43903</v>
      </c>
      <c r="B1064" t="s">
        <v>58</v>
      </c>
      <c r="C1064" s="8">
        <v>3000</v>
      </c>
      <c r="D1064" s="7">
        <v>0</v>
      </c>
      <c r="E1064" s="8">
        <v>608.36</v>
      </c>
      <c r="F1064" s="8">
        <v>-0.04</v>
      </c>
      <c r="G1064" s="8">
        <v>3608.32</v>
      </c>
      <c r="H1064" s="8">
        <v>356.86</v>
      </c>
      <c r="I1064" s="8">
        <v>3965.18</v>
      </c>
      <c r="J1064" s="7">
        <v>100200</v>
      </c>
    </row>
    <row r="1065" spans="1:10" x14ac:dyDescent="0.3">
      <c r="A1065" s="10">
        <v>43917</v>
      </c>
      <c r="B1065" t="s">
        <v>58</v>
      </c>
      <c r="C1065" s="8">
        <v>0</v>
      </c>
      <c r="D1065" s="7">
        <v>0</v>
      </c>
      <c r="E1065" s="8">
        <v>0</v>
      </c>
      <c r="F1065" s="8">
        <v>0</v>
      </c>
      <c r="G1065" s="8">
        <v>0</v>
      </c>
      <c r="H1065" s="8">
        <v>53.04</v>
      </c>
      <c r="I1065" s="8">
        <v>53.04</v>
      </c>
    </row>
    <row r="1066" spans="1:10" x14ac:dyDescent="0.3">
      <c r="A1066" s="10">
        <v>43917</v>
      </c>
      <c r="B1066" t="s">
        <v>58</v>
      </c>
      <c r="C1066" s="8">
        <v>0</v>
      </c>
      <c r="D1066" s="7">
        <v>0</v>
      </c>
      <c r="E1066" s="8">
        <v>0</v>
      </c>
      <c r="F1066" s="8">
        <v>0</v>
      </c>
      <c r="G1066" s="8">
        <v>0</v>
      </c>
      <c r="H1066" s="8">
        <v>0.79</v>
      </c>
      <c r="I1066" s="8">
        <v>0.79</v>
      </c>
    </row>
    <row r="1067" spans="1:10" x14ac:dyDescent="0.3">
      <c r="A1067" s="10">
        <v>43917</v>
      </c>
      <c r="B1067" t="s">
        <v>58</v>
      </c>
      <c r="C1067" s="8">
        <v>3094.94</v>
      </c>
      <c r="D1067" s="7">
        <v>86</v>
      </c>
      <c r="E1067" s="8">
        <v>219.06</v>
      </c>
      <c r="F1067" s="8">
        <v>0</v>
      </c>
      <c r="G1067" s="8">
        <v>3314</v>
      </c>
      <c r="H1067" s="8">
        <v>349.69</v>
      </c>
      <c r="I1067" s="8">
        <v>3663.69</v>
      </c>
      <c r="J1067" s="7" t="s">
        <v>14</v>
      </c>
    </row>
    <row r="1068" spans="1:10" x14ac:dyDescent="0.3">
      <c r="A1068" s="10">
        <v>43917</v>
      </c>
      <c r="B1068" t="s">
        <v>58</v>
      </c>
      <c r="C1068" s="8">
        <v>920</v>
      </c>
      <c r="D1068" s="7">
        <v>0</v>
      </c>
      <c r="E1068" s="8">
        <v>72.709999999999994</v>
      </c>
      <c r="F1068" s="8">
        <v>0</v>
      </c>
      <c r="G1068" s="8">
        <v>992.71</v>
      </c>
      <c r="H1068" s="8">
        <v>86.41</v>
      </c>
      <c r="I1068" s="8">
        <v>1079.1199999999999</v>
      </c>
      <c r="J1068" s="7" t="s">
        <v>14</v>
      </c>
    </row>
    <row r="1069" spans="1:10" x14ac:dyDescent="0.3">
      <c r="A1069" s="10">
        <v>43917</v>
      </c>
      <c r="B1069" t="s">
        <v>58</v>
      </c>
      <c r="C1069" s="8">
        <v>0</v>
      </c>
      <c r="D1069" s="7">
        <v>0</v>
      </c>
      <c r="E1069" s="8">
        <v>0</v>
      </c>
      <c r="F1069" s="8">
        <v>0</v>
      </c>
      <c r="G1069" s="8">
        <v>0</v>
      </c>
      <c r="H1069" s="8">
        <v>-117.99</v>
      </c>
      <c r="I1069" s="8">
        <v>-117.99</v>
      </c>
    </row>
    <row r="1070" spans="1:10" x14ac:dyDescent="0.3">
      <c r="A1070" s="10">
        <v>43931</v>
      </c>
      <c r="B1070" t="s">
        <v>58</v>
      </c>
      <c r="C1070" s="8">
        <v>0</v>
      </c>
      <c r="D1070" s="7">
        <v>0</v>
      </c>
      <c r="E1070" s="8">
        <v>0</v>
      </c>
      <c r="F1070" s="8">
        <v>0</v>
      </c>
      <c r="G1070" s="8">
        <v>0</v>
      </c>
      <c r="H1070" s="8">
        <v>-15.81</v>
      </c>
      <c r="I1070" s="8">
        <v>-15.81</v>
      </c>
    </row>
    <row r="1071" spans="1:10" x14ac:dyDescent="0.3">
      <c r="A1071" s="10">
        <v>43931</v>
      </c>
      <c r="B1071" t="s">
        <v>58</v>
      </c>
      <c r="C1071" s="8">
        <v>940.97</v>
      </c>
      <c r="D1071" s="7">
        <v>40</v>
      </c>
      <c r="E1071" s="8">
        <v>99.03</v>
      </c>
      <c r="F1071" s="8">
        <v>0</v>
      </c>
      <c r="G1071" s="8">
        <v>1040</v>
      </c>
      <c r="H1071" s="8">
        <v>152.83000000000001</v>
      </c>
      <c r="I1071" s="8">
        <v>1192.83</v>
      </c>
      <c r="J1071" s="7" t="s">
        <v>14</v>
      </c>
    </row>
    <row r="1072" spans="1:10" x14ac:dyDescent="0.3">
      <c r="A1072" s="10">
        <v>43931</v>
      </c>
      <c r="B1072" t="s">
        <v>58</v>
      </c>
      <c r="C1072" s="8">
        <v>0</v>
      </c>
      <c r="D1072" s="7">
        <v>0</v>
      </c>
      <c r="E1072" s="8">
        <v>0</v>
      </c>
      <c r="F1072" s="8">
        <v>0</v>
      </c>
      <c r="G1072" s="8">
        <v>0</v>
      </c>
      <c r="H1072" s="8">
        <v>16.84</v>
      </c>
      <c r="I1072" s="8">
        <v>16.84</v>
      </c>
    </row>
    <row r="1073" spans="1:10" x14ac:dyDescent="0.3">
      <c r="A1073" s="10">
        <v>43931</v>
      </c>
      <c r="B1073" t="s">
        <v>58</v>
      </c>
      <c r="C1073" s="8">
        <v>0</v>
      </c>
      <c r="D1073" s="7">
        <v>0</v>
      </c>
      <c r="E1073" s="8">
        <v>0</v>
      </c>
      <c r="F1073" s="8">
        <v>0</v>
      </c>
      <c r="G1073" s="8">
        <v>0</v>
      </c>
      <c r="H1073" s="8">
        <v>0.1</v>
      </c>
      <c r="I1073" s="8">
        <v>0.1</v>
      </c>
    </row>
    <row r="1074" spans="1:10" x14ac:dyDescent="0.3">
      <c r="A1074" s="10">
        <v>43945</v>
      </c>
      <c r="B1074" t="s">
        <v>58</v>
      </c>
      <c r="C1074" s="8">
        <v>500.12</v>
      </c>
      <c r="D1074" s="7">
        <v>21.26</v>
      </c>
      <c r="E1074" s="8">
        <v>52.64</v>
      </c>
      <c r="F1074" s="8">
        <v>0</v>
      </c>
      <c r="G1074" s="8">
        <v>552.76</v>
      </c>
      <c r="H1074" s="8">
        <v>81.83</v>
      </c>
      <c r="I1074" s="8">
        <v>634.59</v>
      </c>
      <c r="J1074" s="7" t="s">
        <v>14</v>
      </c>
    </row>
    <row r="1075" spans="1:10" x14ac:dyDescent="0.3">
      <c r="A1075" s="10">
        <v>43959</v>
      </c>
      <c r="B1075" t="s">
        <v>58</v>
      </c>
      <c r="C1075" s="8">
        <v>700.03</v>
      </c>
      <c r="D1075" s="7">
        <v>29.76</v>
      </c>
      <c r="E1075" s="8">
        <v>73.680000000000007</v>
      </c>
      <c r="F1075" s="8">
        <v>0</v>
      </c>
      <c r="G1075" s="8">
        <v>773.71</v>
      </c>
      <c r="H1075" s="8">
        <v>114.54</v>
      </c>
      <c r="I1075" s="8">
        <v>888.25</v>
      </c>
      <c r="J1075" s="7" t="s">
        <v>14</v>
      </c>
    </row>
    <row r="1076" spans="1:10" x14ac:dyDescent="0.3">
      <c r="A1076" s="10">
        <v>43973</v>
      </c>
      <c r="B1076" t="s">
        <v>58</v>
      </c>
      <c r="C1076" s="8">
        <v>300</v>
      </c>
      <c r="D1076" s="7">
        <v>12.75</v>
      </c>
      <c r="E1076" s="8">
        <v>31.58</v>
      </c>
      <c r="F1076" s="8">
        <v>0</v>
      </c>
      <c r="G1076" s="8">
        <v>331.58</v>
      </c>
      <c r="H1076" s="8">
        <v>49.09</v>
      </c>
      <c r="I1076" s="8">
        <v>380.67</v>
      </c>
      <c r="J1076" s="7" t="s">
        <v>14</v>
      </c>
    </row>
    <row r="1077" spans="1:10" x14ac:dyDescent="0.3">
      <c r="A1077" s="10">
        <v>43987</v>
      </c>
      <c r="B1077" t="s">
        <v>58</v>
      </c>
      <c r="C1077" s="8">
        <v>2148.17</v>
      </c>
      <c r="D1077" s="7">
        <v>87.5</v>
      </c>
      <c r="E1077" s="8">
        <v>224.33</v>
      </c>
      <c r="F1077" s="8">
        <v>0</v>
      </c>
      <c r="G1077" s="8">
        <v>2372.5</v>
      </c>
      <c r="H1077" s="8">
        <v>344.36</v>
      </c>
      <c r="I1077" s="8">
        <v>2716.86</v>
      </c>
      <c r="J1077" s="7" t="s">
        <v>14</v>
      </c>
    </row>
    <row r="1078" spans="1:10" x14ac:dyDescent="0.3">
      <c r="A1078" s="21" t="s">
        <v>15</v>
      </c>
      <c r="B1078" s="22" t="str">
        <f>+B1077</f>
        <v>NOE I. RIOS ESTRADA</v>
      </c>
      <c r="C1078" s="23">
        <f>SUM(C1051:C1077)</f>
        <v>23869.229999999996</v>
      </c>
      <c r="D1078" s="23">
        <f t="shared" ref="D1078:I1078" si="42">SUM(D1051:D1077)</f>
        <v>717.27</v>
      </c>
      <c r="E1078" s="23">
        <f t="shared" si="42"/>
        <v>3691.5899999999997</v>
      </c>
      <c r="F1078" s="23">
        <f t="shared" si="42"/>
        <v>665</v>
      </c>
      <c r="G1078" s="23">
        <f t="shared" si="42"/>
        <v>28225.82</v>
      </c>
      <c r="H1078" s="23">
        <f t="shared" si="42"/>
        <v>3785.3</v>
      </c>
      <c r="I1078" s="23">
        <f t="shared" si="42"/>
        <v>32011.119999999995</v>
      </c>
      <c r="J1078" s="24"/>
    </row>
    <row r="1079" spans="1:10" x14ac:dyDescent="0.3">
      <c r="A1079" s="10">
        <v>43483</v>
      </c>
      <c r="B1079" t="s">
        <v>59</v>
      </c>
      <c r="C1079" s="8">
        <v>0</v>
      </c>
      <c r="D1079" s="7">
        <v>0</v>
      </c>
      <c r="E1079" s="8">
        <v>0</v>
      </c>
      <c r="F1079" s="8">
        <v>0</v>
      </c>
      <c r="G1079" s="8">
        <v>0</v>
      </c>
      <c r="H1079" s="8">
        <v>0</v>
      </c>
      <c r="I1079" s="8">
        <v>0</v>
      </c>
    </row>
    <row r="1080" spans="1:10" x14ac:dyDescent="0.3">
      <c r="A1080" s="10">
        <v>43483</v>
      </c>
      <c r="B1080" t="s">
        <v>59</v>
      </c>
      <c r="C1080" s="8">
        <v>1981</v>
      </c>
      <c r="D1080" s="7">
        <v>80</v>
      </c>
      <c r="E1080" s="8">
        <v>216.13</v>
      </c>
      <c r="F1080" s="8">
        <v>0</v>
      </c>
      <c r="G1080" s="8">
        <v>2197.13</v>
      </c>
      <c r="H1080" s="8">
        <v>381.57</v>
      </c>
      <c r="I1080" s="8">
        <v>2578.6999999999998</v>
      </c>
      <c r="J1080" s="7">
        <v>100134</v>
      </c>
    </row>
    <row r="1081" spans="1:10" x14ac:dyDescent="0.3">
      <c r="A1081" s="10">
        <v>43497</v>
      </c>
      <c r="B1081" t="s">
        <v>59</v>
      </c>
      <c r="C1081" s="8">
        <v>2163</v>
      </c>
      <c r="D1081" s="7">
        <v>80</v>
      </c>
      <c r="E1081" s="8">
        <v>807.72</v>
      </c>
      <c r="F1081" s="8">
        <v>585</v>
      </c>
      <c r="G1081" s="8">
        <v>3555.72</v>
      </c>
      <c r="H1081" s="8">
        <v>518.26</v>
      </c>
      <c r="I1081" s="8">
        <v>4073.98</v>
      </c>
      <c r="J1081" s="7">
        <v>100142</v>
      </c>
    </row>
    <row r="1082" spans="1:10" x14ac:dyDescent="0.3">
      <c r="A1082" s="10">
        <v>43497</v>
      </c>
      <c r="B1082" t="s">
        <v>59</v>
      </c>
      <c r="C1082" s="8">
        <v>0</v>
      </c>
      <c r="D1082" s="7">
        <v>0</v>
      </c>
      <c r="E1082" s="8">
        <v>-0.01</v>
      </c>
      <c r="F1082" s="8">
        <v>0.01</v>
      </c>
      <c r="G1082" s="8">
        <v>0</v>
      </c>
      <c r="H1082" s="8">
        <v>0</v>
      </c>
      <c r="I1082" s="8">
        <v>0</v>
      </c>
    </row>
    <row r="1083" spans="1:10" x14ac:dyDescent="0.3">
      <c r="A1083" s="10">
        <v>43511</v>
      </c>
      <c r="B1083" t="s">
        <v>59</v>
      </c>
      <c r="C1083" s="8">
        <v>2357</v>
      </c>
      <c r="D1083" s="7">
        <v>80</v>
      </c>
      <c r="E1083" s="8">
        <v>248.39</v>
      </c>
      <c r="F1083" s="8">
        <v>0</v>
      </c>
      <c r="G1083" s="8">
        <v>2605.39</v>
      </c>
      <c r="H1083" s="8">
        <v>414.47</v>
      </c>
      <c r="I1083" s="8">
        <v>3019.86</v>
      </c>
      <c r="J1083" s="7" t="s">
        <v>14</v>
      </c>
    </row>
    <row r="1084" spans="1:10" x14ac:dyDescent="0.3">
      <c r="A1084" s="10">
        <v>43511</v>
      </c>
      <c r="B1084" t="s">
        <v>59</v>
      </c>
      <c r="C1084" s="8">
        <v>0</v>
      </c>
      <c r="D1084" s="7">
        <v>0</v>
      </c>
      <c r="E1084" s="8">
        <v>-0.01</v>
      </c>
      <c r="F1084" s="8">
        <v>0.01</v>
      </c>
      <c r="G1084" s="8">
        <v>0</v>
      </c>
      <c r="H1084" s="8">
        <v>0</v>
      </c>
      <c r="I1084" s="8">
        <v>0</v>
      </c>
    </row>
    <row r="1085" spans="1:10" x14ac:dyDescent="0.3">
      <c r="A1085" s="10">
        <v>43523</v>
      </c>
      <c r="B1085" t="s">
        <v>59</v>
      </c>
      <c r="C1085" s="8">
        <v>1818</v>
      </c>
      <c r="D1085" s="7">
        <v>0</v>
      </c>
      <c r="E1085" s="8">
        <v>350.36</v>
      </c>
      <c r="F1085" s="8">
        <v>0</v>
      </c>
      <c r="G1085" s="8">
        <v>2168.36</v>
      </c>
      <c r="H1085" s="8">
        <v>205.14</v>
      </c>
      <c r="I1085" s="8">
        <v>2373.5</v>
      </c>
      <c r="J1085" s="7" t="s">
        <v>14</v>
      </c>
    </row>
    <row r="1086" spans="1:10" x14ac:dyDescent="0.3">
      <c r="A1086" s="10">
        <v>43539</v>
      </c>
      <c r="B1086" t="s">
        <v>59</v>
      </c>
      <c r="C1086" s="8">
        <v>2150</v>
      </c>
      <c r="D1086" s="7">
        <v>80</v>
      </c>
      <c r="E1086" s="8">
        <v>552.58000000000004</v>
      </c>
      <c r="F1086" s="8">
        <v>0</v>
      </c>
      <c r="G1086" s="8">
        <v>2702.58</v>
      </c>
      <c r="H1086" s="8">
        <v>416.19</v>
      </c>
      <c r="I1086" s="8">
        <v>3118.77</v>
      </c>
      <c r="J1086" s="7" t="s">
        <v>14</v>
      </c>
    </row>
    <row r="1087" spans="1:10" x14ac:dyDescent="0.3">
      <c r="A1087" s="10">
        <v>43553</v>
      </c>
      <c r="B1087" t="s">
        <v>59</v>
      </c>
      <c r="C1087" s="8">
        <v>0</v>
      </c>
      <c r="D1087" s="7">
        <v>0</v>
      </c>
      <c r="E1087" s="8">
        <v>-0.01</v>
      </c>
      <c r="F1087" s="8">
        <v>0.01</v>
      </c>
      <c r="G1087" s="8">
        <v>0</v>
      </c>
      <c r="H1087" s="8">
        <v>0</v>
      </c>
      <c r="I1087" s="8">
        <v>0</v>
      </c>
    </row>
    <row r="1088" spans="1:10" x14ac:dyDescent="0.3">
      <c r="A1088" s="10">
        <v>43553</v>
      </c>
      <c r="B1088" t="s">
        <v>59</v>
      </c>
      <c r="C1088" s="8">
        <v>0</v>
      </c>
      <c r="D1088" s="7">
        <v>0</v>
      </c>
      <c r="E1088" s="8">
        <v>0</v>
      </c>
      <c r="F1088" s="8">
        <v>0</v>
      </c>
      <c r="G1088" s="8">
        <v>0</v>
      </c>
      <c r="H1088" s="8">
        <v>-26.94</v>
      </c>
      <c r="I1088" s="8">
        <v>-26.94</v>
      </c>
    </row>
    <row r="1089" spans="1:10" x14ac:dyDescent="0.3">
      <c r="A1089" s="10">
        <v>43553</v>
      </c>
      <c r="B1089" t="s">
        <v>59</v>
      </c>
      <c r="C1089" s="8">
        <v>1743</v>
      </c>
      <c r="D1089" s="7">
        <v>80</v>
      </c>
      <c r="E1089" s="8">
        <v>528.28</v>
      </c>
      <c r="F1089" s="8">
        <v>350</v>
      </c>
      <c r="G1089" s="8">
        <v>2621.2800000000002</v>
      </c>
      <c r="H1089" s="8">
        <v>408.51</v>
      </c>
      <c r="I1089" s="8">
        <v>3029.79</v>
      </c>
      <c r="J1089" s="7" t="s">
        <v>14</v>
      </c>
    </row>
    <row r="1090" spans="1:10" x14ac:dyDescent="0.3">
      <c r="A1090" s="10">
        <v>43567</v>
      </c>
      <c r="B1090" t="s">
        <v>59</v>
      </c>
      <c r="C1090" s="8">
        <v>0</v>
      </c>
      <c r="D1090" s="7">
        <v>0</v>
      </c>
      <c r="E1090" s="8">
        <v>-0.01</v>
      </c>
      <c r="F1090" s="8">
        <v>0.01</v>
      </c>
      <c r="G1090" s="8">
        <v>0</v>
      </c>
      <c r="H1090" s="8">
        <v>0</v>
      </c>
      <c r="I1090" s="8">
        <v>0</v>
      </c>
    </row>
    <row r="1091" spans="1:10" x14ac:dyDescent="0.3">
      <c r="A1091" s="10">
        <v>43567</v>
      </c>
      <c r="B1091" t="s">
        <v>59</v>
      </c>
      <c r="C1091" s="8">
        <v>0</v>
      </c>
      <c r="D1091" s="7">
        <v>0</v>
      </c>
      <c r="E1091" s="8">
        <v>0</v>
      </c>
      <c r="F1091" s="8">
        <v>0</v>
      </c>
      <c r="G1091" s="8">
        <v>0</v>
      </c>
      <c r="H1091" s="8">
        <v>-4.29</v>
      </c>
      <c r="I1091" s="8">
        <v>-4.29</v>
      </c>
    </row>
    <row r="1092" spans="1:10" x14ac:dyDescent="0.3">
      <c r="A1092" s="10">
        <v>43567</v>
      </c>
      <c r="B1092" t="s">
        <v>59</v>
      </c>
      <c r="C1092" s="8">
        <v>1984</v>
      </c>
      <c r="D1092" s="7">
        <v>80</v>
      </c>
      <c r="E1092" s="8">
        <v>498.85</v>
      </c>
      <c r="F1092" s="8">
        <v>40</v>
      </c>
      <c r="G1092" s="8">
        <v>2522.85</v>
      </c>
      <c r="H1092" s="8">
        <v>399.2</v>
      </c>
      <c r="I1092" s="8">
        <v>2922.05</v>
      </c>
      <c r="J1092" s="7" t="s">
        <v>14</v>
      </c>
    </row>
    <row r="1093" spans="1:10" x14ac:dyDescent="0.3">
      <c r="A1093" s="10">
        <v>43581</v>
      </c>
      <c r="B1093" t="s">
        <v>59</v>
      </c>
      <c r="C1093" s="8">
        <v>1572</v>
      </c>
      <c r="D1093" s="7">
        <v>80</v>
      </c>
      <c r="E1093" s="8">
        <v>459.58</v>
      </c>
      <c r="F1093" s="8">
        <v>360</v>
      </c>
      <c r="G1093" s="8">
        <v>2391.58</v>
      </c>
      <c r="H1093" s="8">
        <v>382.71</v>
      </c>
      <c r="I1093" s="8">
        <v>2774.29</v>
      </c>
      <c r="J1093" s="7" t="s">
        <v>14</v>
      </c>
    </row>
    <row r="1094" spans="1:10" x14ac:dyDescent="0.3">
      <c r="A1094" s="10">
        <v>43595</v>
      </c>
      <c r="B1094" t="s">
        <v>59</v>
      </c>
      <c r="C1094" s="8">
        <v>2116</v>
      </c>
      <c r="D1094" s="7">
        <v>80</v>
      </c>
      <c r="E1094" s="8">
        <v>538.09</v>
      </c>
      <c r="F1094" s="8">
        <v>0</v>
      </c>
      <c r="G1094" s="8">
        <v>2654.09</v>
      </c>
      <c r="H1094" s="8">
        <v>407.12</v>
      </c>
      <c r="I1094" s="8">
        <v>3061.21</v>
      </c>
      <c r="J1094" s="7" t="s">
        <v>14</v>
      </c>
    </row>
    <row r="1095" spans="1:10" x14ac:dyDescent="0.3">
      <c r="A1095" s="10">
        <v>43609</v>
      </c>
      <c r="B1095" t="s">
        <v>59</v>
      </c>
      <c r="C1095" s="8">
        <v>2189</v>
      </c>
      <c r="D1095" s="7">
        <v>80</v>
      </c>
      <c r="E1095" s="8">
        <v>727.9</v>
      </c>
      <c r="F1095" s="8">
        <v>372</v>
      </c>
      <c r="G1095" s="8">
        <v>3288.9</v>
      </c>
      <c r="H1095" s="8">
        <v>466.07</v>
      </c>
      <c r="I1095" s="8">
        <v>3754.97</v>
      </c>
      <c r="J1095" s="7" t="s">
        <v>14</v>
      </c>
    </row>
    <row r="1096" spans="1:10" x14ac:dyDescent="0.3">
      <c r="A1096" s="10">
        <v>43623</v>
      </c>
      <c r="B1096" t="s">
        <v>59</v>
      </c>
      <c r="C1096" s="8">
        <v>2038</v>
      </c>
      <c r="D1096" s="7">
        <v>80</v>
      </c>
      <c r="E1096" s="8">
        <v>517.62</v>
      </c>
      <c r="F1096" s="8">
        <v>30</v>
      </c>
      <c r="G1096" s="8">
        <v>2585.62</v>
      </c>
      <c r="H1096" s="8">
        <v>400.76</v>
      </c>
      <c r="I1096" s="8">
        <v>2986.38</v>
      </c>
      <c r="J1096" s="7" t="s">
        <v>14</v>
      </c>
    </row>
    <row r="1097" spans="1:10" x14ac:dyDescent="0.3">
      <c r="A1097" s="10">
        <v>43637</v>
      </c>
      <c r="B1097" t="s">
        <v>59</v>
      </c>
      <c r="C1097" s="8">
        <v>813</v>
      </c>
      <c r="D1097" s="7">
        <v>50</v>
      </c>
      <c r="E1097" s="8">
        <v>129.49</v>
      </c>
      <c r="F1097" s="8">
        <v>360</v>
      </c>
      <c r="G1097" s="8">
        <v>1302.49</v>
      </c>
      <c r="H1097" s="8">
        <v>221.33</v>
      </c>
      <c r="I1097" s="8">
        <v>1523.82</v>
      </c>
      <c r="J1097" s="7" t="s">
        <v>14</v>
      </c>
    </row>
    <row r="1098" spans="1:10" x14ac:dyDescent="0.3">
      <c r="A1098" s="10">
        <v>43651</v>
      </c>
      <c r="B1098" t="s">
        <v>59</v>
      </c>
      <c r="C1098" s="8">
        <v>1741</v>
      </c>
      <c r="D1098" s="7">
        <v>77</v>
      </c>
      <c r="E1098" s="8">
        <v>196.39</v>
      </c>
      <c r="F1098" s="8">
        <v>30</v>
      </c>
      <c r="G1098" s="8">
        <v>1967.39</v>
      </c>
      <c r="H1098" s="8">
        <v>337.29</v>
      </c>
      <c r="I1098" s="8">
        <v>2304.6799999999998</v>
      </c>
      <c r="J1098" s="7" t="s">
        <v>14</v>
      </c>
    </row>
    <row r="1099" spans="1:10" x14ac:dyDescent="0.3">
      <c r="A1099" s="10">
        <v>43665</v>
      </c>
      <c r="B1099" t="s">
        <v>59</v>
      </c>
      <c r="C1099" s="8">
        <v>1771</v>
      </c>
      <c r="D1099" s="7">
        <v>77</v>
      </c>
      <c r="E1099" s="8">
        <v>223.34</v>
      </c>
      <c r="F1099" s="8">
        <v>0</v>
      </c>
      <c r="G1099" s="8">
        <v>1994.34</v>
      </c>
      <c r="H1099" s="8">
        <v>339.8</v>
      </c>
      <c r="I1099" s="8">
        <v>2334.14</v>
      </c>
      <c r="J1099" s="7" t="s">
        <v>14</v>
      </c>
    </row>
    <row r="1100" spans="1:10" x14ac:dyDescent="0.3">
      <c r="A1100" s="10">
        <v>43679</v>
      </c>
      <c r="B1100" t="s">
        <v>59</v>
      </c>
      <c r="C1100" s="8">
        <v>1854</v>
      </c>
      <c r="D1100" s="7">
        <v>80</v>
      </c>
      <c r="E1100" s="8">
        <v>332.88</v>
      </c>
      <c r="F1100" s="8">
        <v>399.96</v>
      </c>
      <c r="G1100" s="8">
        <v>2586.84</v>
      </c>
      <c r="H1100" s="8">
        <v>400.86</v>
      </c>
      <c r="I1100" s="8">
        <v>2987.7</v>
      </c>
      <c r="J1100" s="7" t="s">
        <v>14</v>
      </c>
    </row>
    <row r="1101" spans="1:10" x14ac:dyDescent="0.3">
      <c r="A1101" s="10">
        <v>43693</v>
      </c>
      <c r="B1101" t="s">
        <v>59</v>
      </c>
      <c r="C1101" s="8">
        <v>2514</v>
      </c>
      <c r="D1101" s="7">
        <v>80</v>
      </c>
      <c r="E1101" s="8">
        <v>409.93</v>
      </c>
      <c r="F1101" s="8">
        <v>50</v>
      </c>
      <c r="G1101" s="8">
        <v>2973.93</v>
      </c>
      <c r="H1101" s="8">
        <v>436.81</v>
      </c>
      <c r="I1101" s="8">
        <v>3410.74</v>
      </c>
      <c r="J1101" s="7" t="s">
        <v>14</v>
      </c>
    </row>
    <row r="1102" spans="1:10" x14ac:dyDescent="0.3">
      <c r="A1102" s="10">
        <v>43707</v>
      </c>
      <c r="B1102" t="s">
        <v>59</v>
      </c>
      <c r="C1102" s="8">
        <v>1865</v>
      </c>
      <c r="D1102" s="7">
        <v>80</v>
      </c>
      <c r="E1102" s="8">
        <v>335.64</v>
      </c>
      <c r="F1102" s="8">
        <v>400</v>
      </c>
      <c r="G1102" s="8">
        <v>2600.64</v>
      </c>
      <c r="H1102" s="8">
        <v>402.14</v>
      </c>
      <c r="I1102" s="8">
        <v>3002.78</v>
      </c>
      <c r="J1102" s="7" t="s">
        <v>14</v>
      </c>
    </row>
    <row r="1103" spans="1:10" x14ac:dyDescent="0.3">
      <c r="A1103" s="10">
        <v>43721</v>
      </c>
      <c r="B1103" t="s">
        <v>59</v>
      </c>
      <c r="C1103" s="8">
        <v>2047</v>
      </c>
      <c r="D1103" s="7">
        <v>80</v>
      </c>
      <c r="E1103" s="8">
        <v>285.45</v>
      </c>
      <c r="F1103" s="8">
        <v>0</v>
      </c>
      <c r="G1103" s="8">
        <v>2332.4499999999998</v>
      </c>
      <c r="H1103" s="8">
        <v>377.23</v>
      </c>
      <c r="I1103" s="8">
        <v>2709.68</v>
      </c>
      <c r="J1103" s="7" t="s">
        <v>14</v>
      </c>
    </row>
    <row r="1104" spans="1:10" x14ac:dyDescent="0.3">
      <c r="A1104" s="10">
        <v>43735</v>
      </c>
      <c r="B1104" t="s">
        <v>59</v>
      </c>
      <c r="C1104" s="8">
        <v>2156</v>
      </c>
      <c r="D1104" s="7">
        <v>80</v>
      </c>
      <c r="E1104" s="8">
        <v>407.93</v>
      </c>
      <c r="F1104" s="8">
        <v>400</v>
      </c>
      <c r="G1104" s="8">
        <v>2963.93</v>
      </c>
      <c r="H1104" s="8">
        <v>435.88</v>
      </c>
      <c r="I1104" s="8">
        <v>3399.81</v>
      </c>
      <c r="J1104" s="7" t="s">
        <v>14</v>
      </c>
    </row>
    <row r="1105" spans="1:10" x14ac:dyDescent="0.3">
      <c r="A1105" s="10">
        <v>43749</v>
      </c>
      <c r="B1105" t="s">
        <v>59</v>
      </c>
      <c r="C1105" s="8">
        <v>2362</v>
      </c>
      <c r="D1105" s="7">
        <v>80</v>
      </c>
      <c r="E1105" s="8">
        <v>372.17</v>
      </c>
      <c r="F1105" s="8">
        <v>50</v>
      </c>
      <c r="G1105" s="8">
        <v>2784.17</v>
      </c>
      <c r="H1105" s="8">
        <v>402.81</v>
      </c>
      <c r="I1105" s="8">
        <v>3186.98</v>
      </c>
      <c r="J1105" s="7" t="s">
        <v>14</v>
      </c>
    </row>
    <row r="1106" spans="1:10" x14ac:dyDescent="0.3">
      <c r="A1106" s="10">
        <v>43763</v>
      </c>
      <c r="B1106" t="s">
        <v>59</v>
      </c>
      <c r="C1106" s="8">
        <v>1713</v>
      </c>
      <c r="D1106" s="7">
        <v>80</v>
      </c>
      <c r="E1106" s="8">
        <v>294.39</v>
      </c>
      <c r="F1106" s="8">
        <v>375</v>
      </c>
      <c r="G1106" s="8">
        <v>2382.39</v>
      </c>
      <c r="H1106" s="8">
        <v>342.79</v>
      </c>
      <c r="I1106" s="8">
        <v>2725.18</v>
      </c>
      <c r="J1106" s="7" t="s">
        <v>14</v>
      </c>
    </row>
    <row r="1107" spans="1:10" x14ac:dyDescent="0.3">
      <c r="A1107" s="10">
        <v>43777</v>
      </c>
      <c r="B1107" t="s">
        <v>59</v>
      </c>
      <c r="C1107" s="8">
        <v>2266</v>
      </c>
      <c r="D1107" s="7">
        <v>80</v>
      </c>
      <c r="E1107" s="8">
        <v>348.29</v>
      </c>
      <c r="F1107" s="8">
        <v>50</v>
      </c>
      <c r="G1107" s="8">
        <v>2664.29</v>
      </c>
      <c r="H1107" s="8">
        <v>364.35</v>
      </c>
      <c r="I1107" s="8">
        <v>3028.64</v>
      </c>
      <c r="J1107" s="7" t="s">
        <v>14</v>
      </c>
    </row>
    <row r="1108" spans="1:10" x14ac:dyDescent="0.3">
      <c r="A1108" s="10">
        <v>43791</v>
      </c>
      <c r="B1108" t="s">
        <v>59</v>
      </c>
      <c r="C1108" s="8">
        <v>1688</v>
      </c>
      <c r="D1108" s="7">
        <v>80</v>
      </c>
      <c r="E1108" s="8">
        <v>294.41000000000003</v>
      </c>
      <c r="F1108" s="8">
        <v>400</v>
      </c>
      <c r="G1108" s="8">
        <v>2382.41</v>
      </c>
      <c r="H1108" s="8">
        <v>342.8</v>
      </c>
      <c r="I1108" s="8">
        <v>2725.21</v>
      </c>
      <c r="J1108" s="7" t="s">
        <v>14</v>
      </c>
    </row>
    <row r="1109" spans="1:10" x14ac:dyDescent="0.3">
      <c r="A1109" s="10">
        <v>43805</v>
      </c>
      <c r="B1109" t="s">
        <v>59</v>
      </c>
      <c r="C1109" s="8">
        <v>1794</v>
      </c>
      <c r="D1109" s="7">
        <v>80</v>
      </c>
      <c r="E1109" s="8">
        <v>236.83</v>
      </c>
      <c r="F1109" s="8">
        <v>30</v>
      </c>
      <c r="G1109" s="8">
        <v>2060.83</v>
      </c>
      <c r="H1109" s="8">
        <v>318.2</v>
      </c>
      <c r="I1109" s="8">
        <v>2379.0300000000002</v>
      </c>
      <c r="J1109" s="7" t="s">
        <v>14</v>
      </c>
    </row>
    <row r="1110" spans="1:10" x14ac:dyDescent="0.3">
      <c r="A1110" s="10">
        <v>43819</v>
      </c>
      <c r="B1110" t="s">
        <v>59</v>
      </c>
      <c r="C1110" s="8">
        <v>2194</v>
      </c>
      <c r="D1110" s="7">
        <v>80</v>
      </c>
      <c r="E1110" s="8">
        <v>330.41</v>
      </c>
      <c r="F1110" s="8">
        <v>50</v>
      </c>
      <c r="G1110" s="8">
        <v>2574.41</v>
      </c>
      <c r="H1110" s="8">
        <v>357.48</v>
      </c>
      <c r="I1110" s="8">
        <v>2931.89</v>
      </c>
      <c r="J1110" s="7" t="s">
        <v>14</v>
      </c>
    </row>
    <row r="1111" spans="1:10" x14ac:dyDescent="0.3">
      <c r="A1111" s="10">
        <v>43833</v>
      </c>
      <c r="B1111" t="s">
        <v>59</v>
      </c>
      <c r="C1111" s="8">
        <v>2644</v>
      </c>
      <c r="D1111" s="7">
        <v>80</v>
      </c>
      <c r="E1111" s="8">
        <v>424.28</v>
      </c>
      <c r="F1111" s="8">
        <v>0</v>
      </c>
      <c r="G1111" s="8">
        <v>3068.28</v>
      </c>
      <c r="H1111" s="8">
        <v>463.99</v>
      </c>
      <c r="I1111" s="8">
        <v>3532.27</v>
      </c>
      <c r="J1111" s="7" t="s">
        <v>14</v>
      </c>
    </row>
    <row r="1112" spans="1:10" x14ac:dyDescent="0.3">
      <c r="A1112" s="10">
        <v>43847</v>
      </c>
      <c r="B1112" t="s">
        <v>59</v>
      </c>
      <c r="C1112" s="8">
        <v>2313</v>
      </c>
      <c r="D1112" s="7">
        <v>80</v>
      </c>
      <c r="E1112" s="8">
        <v>296.41000000000003</v>
      </c>
      <c r="F1112" s="8">
        <v>100</v>
      </c>
      <c r="G1112" s="8">
        <v>2709.41</v>
      </c>
      <c r="H1112" s="8">
        <v>399.19</v>
      </c>
      <c r="I1112" s="8">
        <v>3108.6</v>
      </c>
      <c r="J1112" s="7" t="s">
        <v>14</v>
      </c>
    </row>
    <row r="1113" spans="1:10" x14ac:dyDescent="0.3">
      <c r="A1113" s="10">
        <v>43861</v>
      </c>
      <c r="B1113" t="s">
        <v>59</v>
      </c>
      <c r="C1113" s="8">
        <v>0</v>
      </c>
      <c r="D1113" s="7">
        <v>0</v>
      </c>
      <c r="E1113" s="8">
        <v>0</v>
      </c>
      <c r="F1113" s="8">
        <v>0</v>
      </c>
      <c r="G1113" s="8">
        <v>0</v>
      </c>
      <c r="H1113" s="8">
        <v>-170.82</v>
      </c>
      <c r="I1113" s="8">
        <v>-170.82</v>
      </c>
    </row>
    <row r="1114" spans="1:10" x14ac:dyDescent="0.3">
      <c r="A1114" s="10">
        <v>43861</v>
      </c>
      <c r="B1114" t="s">
        <v>59</v>
      </c>
      <c r="C1114" s="8">
        <v>2268</v>
      </c>
      <c r="D1114" s="7">
        <v>80</v>
      </c>
      <c r="E1114" s="8">
        <v>270.45</v>
      </c>
      <c r="F1114" s="8">
        <v>0</v>
      </c>
      <c r="G1114" s="8">
        <v>2538.4499999999998</v>
      </c>
      <c r="H1114" s="8">
        <v>380.34</v>
      </c>
      <c r="I1114" s="8">
        <v>2918.79</v>
      </c>
      <c r="J1114" s="7" t="s">
        <v>14</v>
      </c>
    </row>
    <row r="1115" spans="1:10" x14ac:dyDescent="0.3">
      <c r="A1115" s="10">
        <v>43875</v>
      </c>
      <c r="B1115" t="s">
        <v>59</v>
      </c>
      <c r="C1115" s="8">
        <v>2050</v>
      </c>
      <c r="D1115" s="7">
        <v>80</v>
      </c>
      <c r="E1115" s="8">
        <v>231.55</v>
      </c>
      <c r="F1115" s="8">
        <v>50</v>
      </c>
      <c r="G1115" s="8">
        <v>2331.5500000000002</v>
      </c>
      <c r="H1115" s="8">
        <v>307.51</v>
      </c>
      <c r="I1115" s="8">
        <v>2639.06</v>
      </c>
      <c r="J1115" s="7" t="s">
        <v>14</v>
      </c>
    </row>
    <row r="1116" spans="1:10" x14ac:dyDescent="0.3">
      <c r="A1116" s="10">
        <v>43889</v>
      </c>
      <c r="B1116" t="s">
        <v>59</v>
      </c>
      <c r="C1116" s="8">
        <v>1798</v>
      </c>
      <c r="D1116" s="7">
        <v>80</v>
      </c>
      <c r="E1116" s="8">
        <v>186.44</v>
      </c>
      <c r="F1116" s="8">
        <v>50</v>
      </c>
      <c r="G1116" s="8">
        <v>2034.44</v>
      </c>
      <c r="H1116" s="8">
        <v>284.10000000000002</v>
      </c>
      <c r="I1116" s="8">
        <v>2318.54</v>
      </c>
      <c r="J1116" s="7" t="s">
        <v>14</v>
      </c>
    </row>
    <row r="1117" spans="1:10" x14ac:dyDescent="0.3">
      <c r="A1117" s="10">
        <v>43903</v>
      </c>
      <c r="B1117" t="s">
        <v>59</v>
      </c>
      <c r="C1117" s="8">
        <v>2264</v>
      </c>
      <c r="D1117" s="7">
        <v>80</v>
      </c>
      <c r="E1117" s="8">
        <v>269.86</v>
      </c>
      <c r="F1117" s="8">
        <v>50</v>
      </c>
      <c r="G1117" s="8">
        <v>2583.86</v>
      </c>
      <c r="H1117" s="8">
        <v>327.38</v>
      </c>
      <c r="I1117" s="8">
        <v>2911.24</v>
      </c>
      <c r="J1117" s="7" t="s">
        <v>14</v>
      </c>
    </row>
    <row r="1118" spans="1:10" x14ac:dyDescent="0.3">
      <c r="A1118" s="10">
        <v>43917</v>
      </c>
      <c r="B1118" t="s">
        <v>59</v>
      </c>
      <c r="C1118" s="8">
        <v>0</v>
      </c>
      <c r="D1118" s="7">
        <v>0</v>
      </c>
      <c r="E1118" s="8">
        <v>0</v>
      </c>
      <c r="F1118" s="8">
        <v>0</v>
      </c>
      <c r="G1118" s="8">
        <v>0</v>
      </c>
      <c r="H1118" s="8">
        <v>235.29</v>
      </c>
      <c r="I1118" s="8">
        <v>235.29</v>
      </c>
    </row>
    <row r="1119" spans="1:10" x14ac:dyDescent="0.3">
      <c r="A1119" s="10">
        <v>43917</v>
      </c>
      <c r="B1119" t="s">
        <v>59</v>
      </c>
      <c r="C1119" s="8">
        <v>2055.52</v>
      </c>
      <c r="D1119" s="7">
        <v>79</v>
      </c>
      <c r="E1119" s="8">
        <v>279.48</v>
      </c>
      <c r="F1119" s="8">
        <v>35</v>
      </c>
      <c r="G1119" s="8">
        <v>2370</v>
      </c>
      <c r="H1119" s="8">
        <v>331.19</v>
      </c>
      <c r="I1119" s="8">
        <v>2701.19</v>
      </c>
      <c r="J1119" s="7" t="s">
        <v>14</v>
      </c>
    </row>
    <row r="1120" spans="1:10" x14ac:dyDescent="0.3">
      <c r="A1120" s="10">
        <v>43917</v>
      </c>
      <c r="B1120" t="s">
        <v>59</v>
      </c>
      <c r="C1120" s="8">
        <v>0</v>
      </c>
      <c r="D1120" s="7">
        <v>0</v>
      </c>
      <c r="E1120" s="8">
        <v>0</v>
      </c>
      <c r="F1120" s="8">
        <v>0</v>
      </c>
      <c r="G1120" s="8">
        <v>0</v>
      </c>
      <c r="H1120" s="8">
        <v>1.65</v>
      </c>
      <c r="I1120" s="8">
        <v>1.65</v>
      </c>
    </row>
    <row r="1121" spans="1:10" x14ac:dyDescent="0.3">
      <c r="A1121" s="10">
        <v>43917</v>
      </c>
      <c r="B1121" t="s">
        <v>59</v>
      </c>
      <c r="C1121" s="8">
        <v>0</v>
      </c>
      <c r="D1121" s="7">
        <v>0</v>
      </c>
      <c r="E1121" s="8">
        <v>0</v>
      </c>
      <c r="F1121" s="8">
        <v>0</v>
      </c>
      <c r="G1121" s="8">
        <v>0</v>
      </c>
      <c r="H1121" s="8">
        <v>-249</v>
      </c>
      <c r="I1121" s="8">
        <v>-249</v>
      </c>
    </row>
    <row r="1122" spans="1:10" x14ac:dyDescent="0.3">
      <c r="A1122" s="10">
        <v>43931</v>
      </c>
      <c r="B1122" t="s">
        <v>59</v>
      </c>
      <c r="C1122" s="8">
        <v>0</v>
      </c>
      <c r="D1122" s="7">
        <v>0</v>
      </c>
      <c r="E1122" s="8">
        <v>0</v>
      </c>
      <c r="F1122" s="8">
        <v>0</v>
      </c>
      <c r="G1122" s="8">
        <v>0</v>
      </c>
      <c r="H1122" s="8">
        <v>0.12</v>
      </c>
      <c r="I1122" s="8">
        <v>0.12</v>
      </c>
    </row>
    <row r="1123" spans="1:10" x14ac:dyDescent="0.3">
      <c r="A1123" s="10">
        <v>43931</v>
      </c>
      <c r="B1123" t="s">
        <v>59</v>
      </c>
      <c r="C1123" s="8">
        <v>0</v>
      </c>
      <c r="D1123" s="7">
        <v>0</v>
      </c>
      <c r="E1123" s="8">
        <v>0</v>
      </c>
      <c r="F1123" s="8">
        <v>0</v>
      </c>
      <c r="G1123" s="8">
        <v>0</v>
      </c>
      <c r="H1123" s="8">
        <v>16.84</v>
      </c>
      <c r="I1123" s="8">
        <v>16.84</v>
      </c>
    </row>
    <row r="1124" spans="1:10" x14ac:dyDescent="0.3">
      <c r="A1124" s="10">
        <v>43931</v>
      </c>
      <c r="B1124" t="s">
        <v>59</v>
      </c>
      <c r="C1124" s="8">
        <v>1088.32</v>
      </c>
      <c r="D1124" s="7">
        <v>40</v>
      </c>
      <c r="E1124" s="8">
        <v>111.68</v>
      </c>
      <c r="F1124" s="8">
        <v>0</v>
      </c>
      <c r="G1124" s="8">
        <v>1200</v>
      </c>
      <c r="H1124" s="8">
        <v>167.69</v>
      </c>
      <c r="I1124" s="8">
        <v>1367.69</v>
      </c>
      <c r="J1124" s="7" t="s">
        <v>14</v>
      </c>
    </row>
    <row r="1125" spans="1:10" x14ac:dyDescent="0.3">
      <c r="A1125" s="10">
        <v>43931</v>
      </c>
      <c r="B1125" t="s">
        <v>59</v>
      </c>
      <c r="C1125" s="8">
        <v>0</v>
      </c>
      <c r="D1125" s="7">
        <v>0</v>
      </c>
      <c r="E1125" s="8">
        <v>0</v>
      </c>
      <c r="F1125" s="8">
        <v>0</v>
      </c>
      <c r="G1125" s="8">
        <v>0</v>
      </c>
      <c r="H1125" s="8">
        <v>-18.239999999999998</v>
      </c>
      <c r="I1125" s="8">
        <v>-18.239999999999998</v>
      </c>
    </row>
    <row r="1126" spans="1:10" x14ac:dyDescent="0.3">
      <c r="A1126" s="10">
        <v>43945</v>
      </c>
      <c r="B1126" t="s">
        <v>59</v>
      </c>
      <c r="C1126" s="8">
        <v>500.08</v>
      </c>
      <c r="D1126" s="7">
        <v>18.38</v>
      </c>
      <c r="E1126" s="8">
        <v>51.32</v>
      </c>
      <c r="F1126" s="8">
        <v>0</v>
      </c>
      <c r="G1126" s="8">
        <v>551.4</v>
      </c>
      <c r="H1126" s="8">
        <v>76.459999999999994</v>
      </c>
      <c r="I1126" s="8">
        <v>627.86</v>
      </c>
      <c r="J1126" s="7" t="s">
        <v>14</v>
      </c>
    </row>
    <row r="1127" spans="1:10" x14ac:dyDescent="0.3">
      <c r="A1127" s="10">
        <v>43959</v>
      </c>
      <c r="B1127" t="s">
        <v>59</v>
      </c>
      <c r="C1127" s="8">
        <v>700</v>
      </c>
      <c r="D1127" s="7">
        <v>25.73</v>
      </c>
      <c r="E1127" s="8">
        <v>71.83</v>
      </c>
      <c r="F1127" s="8">
        <v>0</v>
      </c>
      <c r="G1127" s="8">
        <v>771.83</v>
      </c>
      <c r="H1127" s="8">
        <v>107.03</v>
      </c>
      <c r="I1127" s="8">
        <v>878.86</v>
      </c>
      <c r="J1127" s="7" t="s">
        <v>14</v>
      </c>
    </row>
    <row r="1128" spans="1:10" x14ac:dyDescent="0.3">
      <c r="A1128" s="10">
        <v>43973</v>
      </c>
      <c r="B1128" t="s">
        <v>59</v>
      </c>
      <c r="C1128" s="8">
        <v>435.34</v>
      </c>
      <c r="D1128" s="7">
        <v>16</v>
      </c>
      <c r="E1128" s="8">
        <v>44.66</v>
      </c>
      <c r="F1128" s="8">
        <v>0</v>
      </c>
      <c r="G1128" s="8">
        <v>480</v>
      </c>
      <c r="H1128" s="8">
        <v>66.56</v>
      </c>
      <c r="I1128" s="8">
        <v>546.55999999999995</v>
      </c>
      <c r="J1128" s="7" t="s">
        <v>14</v>
      </c>
    </row>
    <row r="1129" spans="1:10" x14ac:dyDescent="0.3">
      <c r="A1129" s="10">
        <v>43987</v>
      </c>
      <c r="B1129" t="s">
        <v>59</v>
      </c>
      <c r="C1129" s="8">
        <v>1921.08</v>
      </c>
      <c r="D1129" s="7">
        <v>72</v>
      </c>
      <c r="E1129" s="8">
        <v>238.92</v>
      </c>
      <c r="F1129" s="8">
        <v>0</v>
      </c>
      <c r="G1129" s="8">
        <v>2160</v>
      </c>
      <c r="H1129" s="8">
        <v>299.52999999999997</v>
      </c>
      <c r="I1129" s="8">
        <v>2459.5300000000002</v>
      </c>
      <c r="J1129" s="7" t="s">
        <v>14</v>
      </c>
    </row>
    <row r="1130" spans="1:10" x14ac:dyDescent="0.3">
      <c r="A1130" s="21" t="s">
        <v>15</v>
      </c>
      <c r="B1130" s="22" t="str">
        <f>+B1129</f>
        <v>Patricio A. Fernandez Borquez</v>
      </c>
      <c r="C1130" s="23">
        <f t="shared" ref="C1130:I1130" si="43">SUM(C1079:C1129)</f>
        <v>68926.34</v>
      </c>
      <c r="D1130" s="23">
        <f t="shared" si="43"/>
        <v>2615.11</v>
      </c>
      <c r="E1130" s="23">
        <f t="shared" si="43"/>
        <v>12119.890000000001</v>
      </c>
      <c r="F1130" s="23">
        <f t="shared" si="43"/>
        <v>4617</v>
      </c>
      <c r="G1130" s="23">
        <f t="shared" si="43"/>
        <v>85663.23</v>
      </c>
      <c r="H1130" s="23">
        <f t="shared" si="43"/>
        <v>12475.350000000002</v>
      </c>
      <c r="I1130" s="23">
        <f t="shared" si="43"/>
        <v>98138.579999999958</v>
      </c>
      <c r="J1130" s="24"/>
    </row>
    <row r="1131" spans="1:10" x14ac:dyDescent="0.3">
      <c r="A1131" s="10">
        <v>43721</v>
      </c>
      <c r="B1131" t="s">
        <v>60</v>
      </c>
      <c r="C1131" s="8">
        <v>621</v>
      </c>
      <c r="D1131" s="7">
        <v>35</v>
      </c>
      <c r="E1131" s="8">
        <v>73.48</v>
      </c>
      <c r="F1131" s="8">
        <v>0</v>
      </c>
      <c r="G1131" s="8">
        <v>694.48</v>
      </c>
      <c r="H1131" s="8">
        <v>138.91999999999999</v>
      </c>
      <c r="I1131" s="8">
        <v>833.4</v>
      </c>
      <c r="J1131" s="7" t="s">
        <v>14</v>
      </c>
    </row>
    <row r="1132" spans="1:10" x14ac:dyDescent="0.3">
      <c r="A1132" s="10">
        <v>43735</v>
      </c>
      <c r="B1132" t="s">
        <v>60</v>
      </c>
      <c r="C1132" s="8">
        <v>1812</v>
      </c>
      <c r="D1132" s="7">
        <v>80</v>
      </c>
      <c r="E1132" s="8">
        <v>266.92</v>
      </c>
      <c r="F1132" s="8">
        <v>150</v>
      </c>
      <c r="G1132" s="8">
        <v>2228.92</v>
      </c>
      <c r="H1132" s="8">
        <v>380.98</v>
      </c>
      <c r="I1132" s="8">
        <v>2609.9</v>
      </c>
      <c r="J1132" s="7" t="s">
        <v>14</v>
      </c>
    </row>
    <row r="1133" spans="1:10" x14ac:dyDescent="0.3">
      <c r="A1133" s="10">
        <v>43749</v>
      </c>
      <c r="B1133" t="s">
        <v>60</v>
      </c>
      <c r="C1133" s="8">
        <v>1810</v>
      </c>
      <c r="D1133" s="7">
        <v>80</v>
      </c>
      <c r="E1133" s="8">
        <v>280.64999999999998</v>
      </c>
      <c r="F1133" s="8">
        <v>215</v>
      </c>
      <c r="G1133" s="8">
        <v>2305.65</v>
      </c>
      <c r="H1133" s="8">
        <v>388.56</v>
      </c>
      <c r="I1133" s="8">
        <v>2694.21</v>
      </c>
      <c r="J1133" s="7" t="s">
        <v>14</v>
      </c>
    </row>
    <row r="1134" spans="1:10" x14ac:dyDescent="0.3">
      <c r="A1134" s="10">
        <v>43763</v>
      </c>
      <c r="B1134" t="s">
        <v>60</v>
      </c>
      <c r="C1134" s="8">
        <v>1710</v>
      </c>
      <c r="D1134" s="7">
        <v>80</v>
      </c>
      <c r="E1134" s="8">
        <v>211.96</v>
      </c>
      <c r="F1134" s="8">
        <v>0</v>
      </c>
      <c r="G1134" s="8">
        <v>1921.96</v>
      </c>
      <c r="H1134" s="8">
        <v>349.72</v>
      </c>
      <c r="I1134" s="8">
        <v>2271.6799999999998</v>
      </c>
      <c r="J1134" s="7" t="s">
        <v>14</v>
      </c>
    </row>
    <row r="1135" spans="1:10" x14ac:dyDescent="0.3">
      <c r="A1135" s="10">
        <v>43777</v>
      </c>
      <c r="B1135" t="s">
        <v>60</v>
      </c>
      <c r="C1135" s="8">
        <v>1840</v>
      </c>
      <c r="D1135" s="7">
        <v>80</v>
      </c>
      <c r="E1135" s="8">
        <v>251.23</v>
      </c>
      <c r="F1135" s="8">
        <v>50</v>
      </c>
      <c r="G1135" s="8">
        <v>2141.23</v>
      </c>
      <c r="H1135" s="8">
        <v>359.47</v>
      </c>
      <c r="I1135" s="8">
        <v>2500.6999999999998</v>
      </c>
      <c r="J1135" s="7" t="s">
        <v>14</v>
      </c>
    </row>
    <row r="1136" spans="1:10" x14ac:dyDescent="0.3">
      <c r="A1136" s="10">
        <v>43791</v>
      </c>
      <c r="B1136" t="s">
        <v>60</v>
      </c>
      <c r="C1136" s="8">
        <v>1959</v>
      </c>
      <c r="D1136" s="7">
        <v>80</v>
      </c>
      <c r="E1136" s="8">
        <v>266.26</v>
      </c>
      <c r="F1136" s="8">
        <v>0</v>
      </c>
      <c r="G1136" s="8">
        <v>2225.2600000000002</v>
      </c>
      <c r="H1136" s="8">
        <v>367.26</v>
      </c>
      <c r="I1136" s="8">
        <v>2592.52</v>
      </c>
      <c r="J1136" s="7" t="s">
        <v>14</v>
      </c>
    </row>
    <row r="1137" spans="1:10" x14ac:dyDescent="0.3">
      <c r="A1137" s="10">
        <v>43805</v>
      </c>
      <c r="B1137" t="s">
        <v>60</v>
      </c>
      <c r="C1137" s="8">
        <v>1463</v>
      </c>
      <c r="D1137" s="7">
        <v>80</v>
      </c>
      <c r="E1137" s="8">
        <v>171.69</v>
      </c>
      <c r="F1137" s="8">
        <v>0</v>
      </c>
      <c r="G1137" s="8">
        <v>1634.69</v>
      </c>
      <c r="H1137" s="8">
        <v>312.42</v>
      </c>
      <c r="I1137" s="8">
        <v>1947.11</v>
      </c>
      <c r="J1137" s="7" t="s">
        <v>14</v>
      </c>
    </row>
    <row r="1138" spans="1:10" x14ac:dyDescent="0.3">
      <c r="A1138" s="10">
        <v>43816</v>
      </c>
      <c r="B1138" t="s">
        <v>60</v>
      </c>
      <c r="C1138" s="8">
        <v>1871</v>
      </c>
      <c r="D1138" s="7">
        <v>80</v>
      </c>
      <c r="E1138" s="8">
        <v>247.07</v>
      </c>
      <c r="F1138" s="8">
        <v>0</v>
      </c>
      <c r="G1138" s="8">
        <v>2118.0700000000002</v>
      </c>
      <c r="H1138" s="8">
        <v>357.3</v>
      </c>
      <c r="I1138" s="8">
        <v>2475.37</v>
      </c>
      <c r="J1138" s="7">
        <v>100191</v>
      </c>
    </row>
    <row r="1139" spans="1:10" x14ac:dyDescent="0.3">
      <c r="A1139" s="10">
        <v>43833</v>
      </c>
      <c r="B1139" t="s">
        <v>60</v>
      </c>
      <c r="C1139" s="8">
        <v>684</v>
      </c>
      <c r="D1139" s="7">
        <v>36</v>
      </c>
      <c r="E1139" s="8">
        <v>79.45</v>
      </c>
      <c r="F1139" s="8">
        <v>0</v>
      </c>
      <c r="G1139" s="8">
        <v>763.45</v>
      </c>
      <c r="H1139" s="8">
        <v>147.74</v>
      </c>
      <c r="I1139" s="8">
        <v>911.19</v>
      </c>
      <c r="J1139" s="7" t="s">
        <v>14</v>
      </c>
    </row>
    <row r="1140" spans="1:10" x14ac:dyDescent="0.3">
      <c r="A1140" s="10">
        <v>43861</v>
      </c>
      <c r="B1140" t="s">
        <v>60</v>
      </c>
      <c r="C1140" s="8">
        <v>0</v>
      </c>
      <c r="D1140" s="7">
        <v>0</v>
      </c>
      <c r="E1140" s="8">
        <v>0</v>
      </c>
      <c r="F1140" s="8">
        <v>0</v>
      </c>
      <c r="G1140" s="8">
        <v>0</v>
      </c>
      <c r="H1140" s="8">
        <v>-82.56</v>
      </c>
      <c r="I1140" s="8">
        <v>-82.56</v>
      </c>
    </row>
    <row r="1141" spans="1:10" x14ac:dyDescent="0.3">
      <c r="A1141" s="10">
        <v>43861</v>
      </c>
      <c r="B1141" t="s">
        <v>60</v>
      </c>
      <c r="C1141" s="8">
        <v>1508</v>
      </c>
      <c r="D1141" s="7">
        <v>80</v>
      </c>
      <c r="E1141" s="8">
        <v>162.62</v>
      </c>
      <c r="F1141" s="8">
        <v>12</v>
      </c>
      <c r="G1141" s="8">
        <v>1682.62</v>
      </c>
      <c r="H1141" s="8">
        <v>310.86</v>
      </c>
      <c r="I1141" s="8">
        <v>1993.48</v>
      </c>
      <c r="J1141" s="7" t="s">
        <v>14</v>
      </c>
    </row>
    <row r="1142" spans="1:10" x14ac:dyDescent="0.3">
      <c r="A1142" s="10">
        <v>43875</v>
      </c>
      <c r="B1142" t="s">
        <v>60</v>
      </c>
      <c r="C1142" s="8">
        <v>1885</v>
      </c>
      <c r="D1142" s="7">
        <v>80</v>
      </c>
      <c r="E1142" s="8">
        <v>199.33</v>
      </c>
      <c r="F1142" s="8">
        <v>35</v>
      </c>
      <c r="G1142" s="8">
        <v>2119.33</v>
      </c>
      <c r="H1142" s="8">
        <v>302.31</v>
      </c>
      <c r="I1142" s="8">
        <v>2421.64</v>
      </c>
      <c r="J1142" s="7" t="s">
        <v>14</v>
      </c>
    </row>
    <row r="1143" spans="1:10" x14ac:dyDescent="0.3">
      <c r="A1143" s="10">
        <v>43889</v>
      </c>
      <c r="B1143" t="s">
        <v>60</v>
      </c>
      <c r="C1143" s="8">
        <v>1960</v>
      </c>
      <c r="D1143" s="7">
        <v>80</v>
      </c>
      <c r="E1143" s="8">
        <v>206.49</v>
      </c>
      <c r="F1143" s="8">
        <v>0</v>
      </c>
      <c r="G1143" s="8">
        <v>2166.4899999999998</v>
      </c>
      <c r="H1143" s="8">
        <v>306.26</v>
      </c>
      <c r="I1143" s="8">
        <v>2472.75</v>
      </c>
      <c r="J1143" s="7" t="s">
        <v>14</v>
      </c>
    </row>
    <row r="1144" spans="1:10" x14ac:dyDescent="0.3">
      <c r="A1144" s="10">
        <v>43903</v>
      </c>
      <c r="B1144" t="s">
        <v>60</v>
      </c>
      <c r="C1144" s="8">
        <v>1120</v>
      </c>
      <c r="D1144" s="7">
        <v>80</v>
      </c>
      <c r="E1144" s="8">
        <v>122.18</v>
      </c>
      <c r="F1144" s="8">
        <v>0</v>
      </c>
      <c r="G1144" s="8">
        <v>1242.18</v>
      </c>
      <c r="H1144" s="8">
        <v>221.48</v>
      </c>
      <c r="I1144" s="8">
        <v>1463.66</v>
      </c>
      <c r="J1144" s="7" t="s">
        <v>14</v>
      </c>
    </row>
    <row r="1145" spans="1:10" x14ac:dyDescent="0.3">
      <c r="A1145" s="10">
        <v>43917</v>
      </c>
      <c r="B1145" t="s">
        <v>60</v>
      </c>
      <c r="C1145" s="8">
        <v>0</v>
      </c>
      <c r="D1145" s="7">
        <v>0</v>
      </c>
      <c r="E1145" s="8">
        <v>0</v>
      </c>
      <c r="F1145" s="8">
        <v>0</v>
      </c>
      <c r="G1145" s="8">
        <v>0</v>
      </c>
      <c r="H1145" s="8">
        <v>185.2</v>
      </c>
      <c r="I1145" s="8">
        <v>185.2</v>
      </c>
    </row>
    <row r="1146" spans="1:10" x14ac:dyDescent="0.3">
      <c r="A1146" s="10">
        <v>43917</v>
      </c>
      <c r="B1146" t="s">
        <v>60</v>
      </c>
      <c r="C1146" s="8">
        <v>0</v>
      </c>
      <c r="D1146" s="7">
        <v>0</v>
      </c>
      <c r="E1146" s="8">
        <v>0</v>
      </c>
      <c r="F1146" s="8">
        <v>0</v>
      </c>
      <c r="G1146" s="8">
        <v>0</v>
      </c>
      <c r="H1146" s="8">
        <v>-140.12</v>
      </c>
      <c r="I1146" s="8">
        <v>-140.12</v>
      </c>
    </row>
    <row r="1147" spans="1:10" x14ac:dyDescent="0.3">
      <c r="A1147" s="10">
        <v>43917</v>
      </c>
      <c r="B1147" t="s">
        <v>60</v>
      </c>
      <c r="C1147" s="8">
        <v>1731.29</v>
      </c>
      <c r="D1147" s="7">
        <v>84</v>
      </c>
      <c r="E1147" s="8">
        <v>203.71</v>
      </c>
      <c r="F1147" s="8">
        <v>0</v>
      </c>
      <c r="G1147" s="8">
        <v>1935</v>
      </c>
      <c r="H1147" s="8">
        <v>297.81</v>
      </c>
      <c r="I1147" s="8">
        <v>2232.81</v>
      </c>
      <c r="J1147" s="7" t="s">
        <v>14</v>
      </c>
    </row>
    <row r="1148" spans="1:10" x14ac:dyDescent="0.3">
      <c r="A1148" s="10">
        <v>43917</v>
      </c>
      <c r="B1148" t="s">
        <v>60</v>
      </c>
      <c r="C1148" s="8">
        <v>0</v>
      </c>
      <c r="D1148" s="7">
        <v>0</v>
      </c>
      <c r="E1148" s="8">
        <v>0</v>
      </c>
      <c r="F1148" s="8">
        <v>0</v>
      </c>
      <c r="G1148" s="8">
        <v>0</v>
      </c>
      <c r="H1148" s="8">
        <v>0.94</v>
      </c>
      <c r="I1148" s="8">
        <v>0.94</v>
      </c>
    </row>
    <row r="1149" spans="1:10" x14ac:dyDescent="0.3">
      <c r="A1149" s="10">
        <v>43931</v>
      </c>
      <c r="B1149" t="s">
        <v>60</v>
      </c>
      <c r="C1149" s="8">
        <v>0</v>
      </c>
      <c r="D1149" s="7">
        <v>0</v>
      </c>
      <c r="E1149" s="8">
        <v>0</v>
      </c>
      <c r="F1149" s="8">
        <v>0</v>
      </c>
      <c r="G1149" s="8">
        <v>0</v>
      </c>
      <c r="H1149" s="8">
        <v>16.84</v>
      </c>
      <c r="I1149" s="8">
        <v>16.84</v>
      </c>
    </row>
    <row r="1150" spans="1:10" x14ac:dyDescent="0.3">
      <c r="A1150" s="10">
        <v>43931</v>
      </c>
      <c r="B1150" t="s">
        <v>60</v>
      </c>
      <c r="C1150" s="8">
        <v>0</v>
      </c>
      <c r="D1150" s="7">
        <v>0</v>
      </c>
      <c r="E1150" s="8">
        <v>0</v>
      </c>
      <c r="F1150" s="8">
        <v>0</v>
      </c>
      <c r="G1150" s="8">
        <v>0</v>
      </c>
      <c r="H1150" s="8">
        <v>0.09</v>
      </c>
      <c r="I1150" s="8">
        <v>0.09</v>
      </c>
    </row>
    <row r="1151" spans="1:10" x14ac:dyDescent="0.3">
      <c r="A1151" s="10">
        <v>43931</v>
      </c>
      <c r="B1151" t="s">
        <v>60</v>
      </c>
      <c r="C1151" s="8">
        <v>0</v>
      </c>
      <c r="D1151" s="7">
        <v>0</v>
      </c>
      <c r="E1151" s="8">
        <v>0</v>
      </c>
      <c r="F1151" s="8">
        <v>0</v>
      </c>
      <c r="G1151" s="8">
        <v>0</v>
      </c>
      <c r="H1151" s="8">
        <v>-13.68</v>
      </c>
      <c r="I1151" s="8">
        <v>-13.68</v>
      </c>
    </row>
    <row r="1152" spans="1:10" x14ac:dyDescent="0.3">
      <c r="A1152" s="10">
        <v>43931</v>
      </c>
      <c r="B1152" t="s">
        <v>60</v>
      </c>
      <c r="C1152" s="8">
        <v>812.03</v>
      </c>
      <c r="D1152" s="7">
        <v>40</v>
      </c>
      <c r="E1152" s="8">
        <v>87.97</v>
      </c>
      <c r="F1152" s="8">
        <v>0</v>
      </c>
      <c r="G1152" s="8">
        <v>900</v>
      </c>
      <c r="H1152" s="8">
        <v>139.82</v>
      </c>
      <c r="I1152" s="8">
        <v>1039.82</v>
      </c>
      <c r="J1152" s="7" t="s">
        <v>14</v>
      </c>
    </row>
    <row r="1153" spans="1:10" x14ac:dyDescent="0.3">
      <c r="A1153" s="10">
        <v>43945</v>
      </c>
      <c r="B1153" t="s">
        <v>60</v>
      </c>
      <c r="C1153" s="8">
        <v>500.02</v>
      </c>
      <c r="D1153" s="7">
        <v>24.63</v>
      </c>
      <c r="E1153" s="8">
        <v>54.16</v>
      </c>
      <c r="F1153" s="8">
        <v>0</v>
      </c>
      <c r="G1153" s="8">
        <v>554.17999999999995</v>
      </c>
      <c r="H1153" s="8">
        <v>88.09</v>
      </c>
      <c r="I1153" s="8">
        <v>642.27</v>
      </c>
      <c r="J1153" s="7" t="s">
        <v>14</v>
      </c>
    </row>
    <row r="1154" spans="1:10" x14ac:dyDescent="0.3">
      <c r="A1154" s="10">
        <v>43959</v>
      </c>
      <c r="B1154" t="s">
        <v>60</v>
      </c>
      <c r="C1154" s="8">
        <v>700.08</v>
      </c>
      <c r="D1154" s="7">
        <v>34.479999999999997</v>
      </c>
      <c r="E1154" s="8">
        <v>75.83</v>
      </c>
      <c r="F1154" s="8">
        <v>0</v>
      </c>
      <c r="G1154" s="8">
        <v>775.91</v>
      </c>
      <c r="H1154" s="8">
        <v>123.34</v>
      </c>
      <c r="I1154" s="8">
        <v>899.25</v>
      </c>
      <c r="J1154" s="7" t="s">
        <v>14</v>
      </c>
    </row>
    <row r="1155" spans="1:10" x14ac:dyDescent="0.3">
      <c r="A1155" s="10">
        <v>43973</v>
      </c>
      <c r="B1155" t="s">
        <v>60</v>
      </c>
      <c r="C1155" s="8">
        <v>812.03</v>
      </c>
      <c r="D1155" s="7">
        <v>40</v>
      </c>
      <c r="E1155" s="8">
        <v>87.97</v>
      </c>
      <c r="F1155" s="8">
        <v>0</v>
      </c>
      <c r="G1155" s="8">
        <v>900</v>
      </c>
      <c r="H1155" s="8">
        <v>143.06</v>
      </c>
      <c r="I1155" s="8">
        <v>1043.06</v>
      </c>
      <c r="J1155" s="7" t="s">
        <v>14</v>
      </c>
    </row>
    <row r="1156" spans="1:10" x14ac:dyDescent="0.3">
      <c r="A1156" s="10">
        <v>43987</v>
      </c>
      <c r="B1156" t="s">
        <v>60</v>
      </c>
      <c r="C1156" s="8">
        <v>1471.8</v>
      </c>
      <c r="D1156" s="7">
        <v>72.5</v>
      </c>
      <c r="E1156" s="8">
        <v>159.44999999999999</v>
      </c>
      <c r="F1156" s="8">
        <v>0</v>
      </c>
      <c r="G1156" s="8">
        <v>1631.25</v>
      </c>
      <c r="H1156" s="8">
        <v>259.31</v>
      </c>
      <c r="I1156" s="8">
        <v>1890.56</v>
      </c>
      <c r="J1156" s="7" t="s">
        <v>14</v>
      </c>
    </row>
    <row r="1157" spans="1:10" x14ac:dyDescent="0.3">
      <c r="A1157" s="21" t="s">
        <v>15</v>
      </c>
      <c r="B1157" s="22" t="str">
        <f>+B1156</f>
        <v>Raul Benjamin Hirales Cuevas</v>
      </c>
      <c r="C1157" s="23">
        <f t="shared" ref="C1157:I1157" si="44">SUM(C1131:C1156)</f>
        <v>26270.25</v>
      </c>
      <c r="D1157" s="23">
        <f t="shared" si="44"/>
        <v>1246.6100000000001</v>
      </c>
      <c r="E1157" s="23">
        <f t="shared" si="44"/>
        <v>3208.4199999999987</v>
      </c>
      <c r="F1157" s="23">
        <f t="shared" si="44"/>
        <v>462</v>
      </c>
      <c r="G1157" s="23">
        <f t="shared" si="44"/>
        <v>29940.670000000002</v>
      </c>
      <c r="H1157" s="23">
        <f t="shared" si="44"/>
        <v>4961.42</v>
      </c>
      <c r="I1157" s="23">
        <f t="shared" si="44"/>
        <v>34902.089999999997</v>
      </c>
      <c r="J1157" s="24"/>
    </row>
    <row r="1158" spans="1:10" x14ac:dyDescent="0.3">
      <c r="A1158" s="10">
        <v>43427</v>
      </c>
      <c r="B1158" t="s">
        <v>61</v>
      </c>
      <c r="C1158" s="8">
        <v>2798</v>
      </c>
      <c r="D1158" s="7">
        <v>80</v>
      </c>
      <c r="E1158" s="8">
        <v>277.79000000000002</v>
      </c>
      <c r="F1158" s="8">
        <v>0</v>
      </c>
      <c r="G1158" s="8">
        <v>3075.79</v>
      </c>
      <c r="H1158" s="8">
        <v>469.97</v>
      </c>
      <c r="I1158" s="8">
        <v>3545.76</v>
      </c>
      <c r="J1158" s="7" t="s">
        <v>14</v>
      </c>
    </row>
    <row r="1159" spans="1:10" x14ac:dyDescent="0.3">
      <c r="A1159" s="10">
        <v>43441</v>
      </c>
      <c r="B1159" t="s">
        <v>61</v>
      </c>
      <c r="C1159" s="8">
        <v>1610</v>
      </c>
      <c r="D1159" s="7">
        <v>70</v>
      </c>
      <c r="E1159" s="8">
        <v>355.43</v>
      </c>
      <c r="F1159" s="8">
        <v>0</v>
      </c>
      <c r="G1159" s="8">
        <v>1965.43</v>
      </c>
      <c r="H1159" s="8">
        <v>338.2</v>
      </c>
      <c r="I1159" s="8">
        <v>2303.63</v>
      </c>
      <c r="J1159" s="7" t="s">
        <v>14</v>
      </c>
    </row>
    <row r="1160" spans="1:10" x14ac:dyDescent="0.3">
      <c r="A1160" s="10">
        <v>43455</v>
      </c>
      <c r="B1160" t="s">
        <v>61</v>
      </c>
      <c r="C1160" s="8">
        <v>2599</v>
      </c>
      <c r="D1160" s="7">
        <v>80</v>
      </c>
      <c r="E1160" s="8">
        <v>603.9</v>
      </c>
      <c r="F1160" s="8">
        <v>0</v>
      </c>
      <c r="G1160" s="8">
        <v>3202.9</v>
      </c>
      <c r="H1160" s="8">
        <v>475.28</v>
      </c>
      <c r="I1160" s="8">
        <v>3678.18</v>
      </c>
      <c r="J1160" s="7" t="s">
        <v>14</v>
      </c>
    </row>
    <row r="1161" spans="1:10" x14ac:dyDescent="0.3">
      <c r="A1161" s="10">
        <v>43469</v>
      </c>
      <c r="B1161" t="s">
        <v>61</v>
      </c>
      <c r="C1161" s="8">
        <v>0</v>
      </c>
      <c r="D1161" s="7">
        <v>0</v>
      </c>
      <c r="E1161" s="8">
        <v>0</v>
      </c>
      <c r="F1161" s="8">
        <v>0</v>
      </c>
      <c r="G1161" s="8">
        <v>0</v>
      </c>
      <c r="H1161" s="8">
        <v>0</v>
      </c>
      <c r="I1161" s="8">
        <v>0</v>
      </c>
    </row>
    <row r="1162" spans="1:10" x14ac:dyDescent="0.3">
      <c r="A1162" s="10">
        <v>43469</v>
      </c>
      <c r="B1162" t="s">
        <v>61</v>
      </c>
      <c r="C1162" s="8">
        <v>1058</v>
      </c>
      <c r="D1162" s="7">
        <v>46.5</v>
      </c>
      <c r="E1162" s="8">
        <v>207.11</v>
      </c>
      <c r="F1162" s="8">
        <v>0</v>
      </c>
      <c r="G1162" s="8">
        <v>1265.1099999999999</v>
      </c>
      <c r="H1162" s="8">
        <v>220.58</v>
      </c>
      <c r="I1162" s="8">
        <v>1485.69</v>
      </c>
      <c r="J1162" s="7" t="s">
        <v>14</v>
      </c>
    </row>
    <row r="1163" spans="1:10" x14ac:dyDescent="0.3">
      <c r="A1163" s="10">
        <v>43483</v>
      </c>
      <c r="B1163" t="s">
        <v>61</v>
      </c>
      <c r="C1163" s="8">
        <v>1776.42</v>
      </c>
      <c r="D1163" s="7">
        <v>80</v>
      </c>
      <c r="E1163" s="8">
        <v>198.58</v>
      </c>
      <c r="F1163" s="8">
        <v>0</v>
      </c>
      <c r="G1163" s="8">
        <v>1975</v>
      </c>
      <c r="H1163" s="8">
        <v>359.23</v>
      </c>
      <c r="I1163" s="8">
        <v>2334.23</v>
      </c>
      <c r="J1163" s="7" t="s">
        <v>14</v>
      </c>
    </row>
    <row r="1164" spans="1:10" x14ac:dyDescent="0.3">
      <c r="A1164" s="10">
        <v>43483</v>
      </c>
      <c r="B1164" t="s">
        <v>61</v>
      </c>
      <c r="C1164" s="8">
        <v>198.58</v>
      </c>
      <c r="D1164" s="7">
        <v>0</v>
      </c>
      <c r="E1164" s="8">
        <v>17.05</v>
      </c>
      <c r="F1164" s="8">
        <v>0</v>
      </c>
      <c r="G1164" s="8">
        <v>215.63</v>
      </c>
      <c r="H1164" s="8">
        <v>21.69</v>
      </c>
      <c r="I1164" s="8">
        <v>237.32</v>
      </c>
      <c r="J1164" s="7" t="s">
        <v>14</v>
      </c>
    </row>
    <row r="1165" spans="1:10" x14ac:dyDescent="0.3">
      <c r="A1165" s="10">
        <v>43483</v>
      </c>
      <c r="B1165" t="s">
        <v>61</v>
      </c>
      <c r="C1165" s="8">
        <v>0</v>
      </c>
      <c r="D1165" s="7">
        <v>0</v>
      </c>
      <c r="E1165" s="8">
        <v>0</v>
      </c>
      <c r="F1165" s="8">
        <v>0</v>
      </c>
      <c r="G1165" s="8">
        <v>0</v>
      </c>
      <c r="H1165" s="8">
        <v>0</v>
      </c>
      <c r="I1165" s="8">
        <v>0</v>
      </c>
    </row>
    <row r="1166" spans="1:10" x14ac:dyDescent="0.3">
      <c r="A1166" s="10">
        <v>43483</v>
      </c>
      <c r="B1166" t="s">
        <v>61</v>
      </c>
      <c r="C1166" s="8">
        <v>0</v>
      </c>
      <c r="D1166" s="7">
        <v>0</v>
      </c>
      <c r="E1166" s="8">
        <v>-0.01</v>
      </c>
      <c r="F1166" s="8">
        <v>0.01</v>
      </c>
      <c r="G1166" s="8">
        <v>0</v>
      </c>
      <c r="H1166" s="8">
        <v>0</v>
      </c>
      <c r="I1166" s="8">
        <v>0</v>
      </c>
    </row>
    <row r="1167" spans="1:10" x14ac:dyDescent="0.3">
      <c r="A1167" s="10">
        <v>43497</v>
      </c>
      <c r="B1167" t="s">
        <v>61</v>
      </c>
      <c r="C1167" s="8">
        <v>0</v>
      </c>
      <c r="D1167" s="7">
        <v>0</v>
      </c>
      <c r="E1167" s="8">
        <v>-0.01</v>
      </c>
      <c r="F1167" s="8">
        <v>0.01</v>
      </c>
      <c r="G1167" s="8">
        <v>0</v>
      </c>
      <c r="H1167" s="8">
        <v>0</v>
      </c>
      <c r="I1167" s="8">
        <v>0</v>
      </c>
    </row>
    <row r="1168" spans="1:10" x14ac:dyDescent="0.3">
      <c r="A1168" s="10">
        <v>43497</v>
      </c>
      <c r="B1168" t="s">
        <v>61</v>
      </c>
      <c r="C1168" s="8">
        <v>3000</v>
      </c>
      <c r="D1168" s="7">
        <v>80</v>
      </c>
      <c r="E1168" s="8">
        <v>743.48</v>
      </c>
      <c r="F1168" s="8">
        <v>0</v>
      </c>
      <c r="G1168" s="8">
        <v>3743.48</v>
      </c>
      <c r="H1168" s="8">
        <v>535.94000000000005</v>
      </c>
      <c r="I1168" s="8">
        <v>4279.42</v>
      </c>
      <c r="J1168" s="7" t="s">
        <v>14</v>
      </c>
    </row>
    <row r="1169" spans="1:10" x14ac:dyDescent="0.3">
      <c r="A1169" s="10">
        <v>43511</v>
      </c>
      <c r="B1169" t="s">
        <v>61</v>
      </c>
      <c r="C1169" s="8">
        <v>2537</v>
      </c>
      <c r="D1169" s="7">
        <v>80</v>
      </c>
      <c r="E1169" s="8">
        <v>263.83999999999997</v>
      </c>
      <c r="F1169" s="8">
        <v>0</v>
      </c>
      <c r="G1169" s="8">
        <v>2800.84</v>
      </c>
      <c r="H1169" s="8">
        <v>425.49</v>
      </c>
      <c r="I1169" s="8">
        <v>3226.33</v>
      </c>
      <c r="J1169" s="7" t="s">
        <v>14</v>
      </c>
    </row>
    <row r="1170" spans="1:10" x14ac:dyDescent="0.3">
      <c r="A1170" s="10">
        <v>43523</v>
      </c>
      <c r="B1170" t="s">
        <v>61</v>
      </c>
      <c r="C1170" s="8">
        <v>0</v>
      </c>
      <c r="D1170" s="7">
        <v>0</v>
      </c>
      <c r="E1170" s="8">
        <v>-0.01</v>
      </c>
      <c r="F1170" s="8">
        <v>0.01</v>
      </c>
      <c r="G1170" s="8">
        <v>0</v>
      </c>
      <c r="H1170" s="8">
        <v>0</v>
      </c>
      <c r="I1170" s="8">
        <v>0</v>
      </c>
    </row>
    <row r="1171" spans="1:10" x14ac:dyDescent="0.3">
      <c r="A1171" s="10">
        <v>43523</v>
      </c>
      <c r="B1171" t="s">
        <v>61</v>
      </c>
      <c r="C1171" s="8">
        <v>2662</v>
      </c>
      <c r="D1171" s="7">
        <v>0</v>
      </c>
      <c r="E1171" s="8">
        <v>574.87</v>
      </c>
      <c r="F1171" s="8">
        <v>0</v>
      </c>
      <c r="G1171" s="8">
        <v>3236.87</v>
      </c>
      <c r="H1171" s="8">
        <v>306.22000000000003</v>
      </c>
      <c r="I1171" s="8">
        <v>3543.09</v>
      </c>
      <c r="J1171" s="7" t="s">
        <v>14</v>
      </c>
    </row>
    <row r="1172" spans="1:10" x14ac:dyDescent="0.3">
      <c r="A1172" s="10">
        <v>43539</v>
      </c>
      <c r="B1172" t="s">
        <v>61</v>
      </c>
      <c r="C1172" s="8">
        <v>2662</v>
      </c>
      <c r="D1172" s="7">
        <v>80</v>
      </c>
      <c r="E1172" s="8">
        <v>627.89</v>
      </c>
      <c r="F1172" s="8">
        <v>0</v>
      </c>
      <c r="G1172" s="8">
        <v>3289.89</v>
      </c>
      <c r="H1172" s="8">
        <v>471.76</v>
      </c>
      <c r="I1172" s="8">
        <v>3761.65</v>
      </c>
      <c r="J1172" s="7" t="s">
        <v>14</v>
      </c>
    </row>
    <row r="1173" spans="1:10" x14ac:dyDescent="0.3">
      <c r="A1173" s="10">
        <v>43539</v>
      </c>
      <c r="B1173" t="s">
        <v>61</v>
      </c>
      <c r="C1173" s="8">
        <v>0</v>
      </c>
      <c r="D1173" s="7">
        <v>0</v>
      </c>
      <c r="E1173" s="8">
        <v>-0.01</v>
      </c>
      <c r="F1173" s="8">
        <v>0.01</v>
      </c>
      <c r="G1173" s="8">
        <v>0</v>
      </c>
      <c r="H1173" s="8">
        <v>0</v>
      </c>
      <c r="I1173" s="8">
        <v>0</v>
      </c>
    </row>
    <row r="1174" spans="1:10" x14ac:dyDescent="0.3">
      <c r="A1174" s="10">
        <v>43553</v>
      </c>
      <c r="B1174" t="s">
        <v>61</v>
      </c>
      <c r="C1174" s="8">
        <v>0</v>
      </c>
      <c r="D1174" s="7">
        <v>0</v>
      </c>
      <c r="E1174" s="8">
        <v>0</v>
      </c>
      <c r="F1174" s="8">
        <v>0</v>
      </c>
      <c r="G1174" s="8">
        <v>0</v>
      </c>
      <c r="H1174" s="8">
        <v>-33.770000000000003</v>
      </c>
      <c r="I1174" s="8">
        <v>-33.770000000000003</v>
      </c>
    </row>
    <row r="1175" spans="1:10" x14ac:dyDescent="0.3">
      <c r="A1175" s="10">
        <v>43553</v>
      </c>
      <c r="B1175" t="s">
        <v>61</v>
      </c>
      <c r="C1175" s="8">
        <v>2700</v>
      </c>
      <c r="D1175" s="7">
        <v>80</v>
      </c>
      <c r="E1175" s="8">
        <v>637.35</v>
      </c>
      <c r="F1175" s="8">
        <v>0</v>
      </c>
      <c r="G1175" s="8">
        <v>3337.35</v>
      </c>
      <c r="H1175" s="8">
        <v>476.26</v>
      </c>
      <c r="I1175" s="8">
        <v>3813.61</v>
      </c>
      <c r="J1175" s="7" t="s">
        <v>14</v>
      </c>
    </row>
    <row r="1176" spans="1:10" x14ac:dyDescent="0.3">
      <c r="A1176" s="10">
        <v>43553</v>
      </c>
      <c r="B1176" t="s">
        <v>61</v>
      </c>
      <c r="C1176" s="8">
        <v>0</v>
      </c>
      <c r="D1176" s="7">
        <v>0</v>
      </c>
      <c r="E1176" s="8">
        <v>-0.01</v>
      </c>
      <c r="F1176" s="8">
        <v>0.01</v>
      </c>
      <c r="G1176" s="8">
        <v>0</v>
      </c>
      <c r="H1176" s="8">
        <v>0</v>
      </c>
      <c r="I1176" s="8">
        <v>0</v>
      </c>
    </row>
    <row r="1177" spans="1:10" x14ac:dyDescent="0.3">
      <c r="A1177" s="10">
        <v>43567</v>
      </c>
      <c r="B1177" t="s">
        <v>61</v>
      </c>
      <c r="C1177" s="8">
        <v>0</v>
      </c>
      <c r="D1177" s="7">
        <v>0</v>
      </c>
      <c r="E1177" s="8">
        <v>0</v>
      </c>
      <c r="F1177" s="8">
        <v>0</v>
      </c>
      <c r="G1177" s="8">
        <v>0</v>
      </c>
      <c r="H1177" s="8">
        <v>-4.76</v>
      </c>
      <c r="I1177" s="8">
        <v>-4.76</v>
      </c>
    </row>
    <row r="1178" spans="1:10" x14ac:dyDescent="0.3">
      <c r="A1178" s="10">
        <v>43567</v>
      </c>
      <c r="B1178" t="s">
        <v>61</v>
      </c>
      <c r="C1178" s="8">
        <v>2262</v>
      </c>
      <c r="D1178" s="7">
        <v>80</v>
      </c>
      <c r="E1178" s="8">
        <v>538</v>
      </c>
      <c r="F1178" s="8">
        <v>0</v>
      </c>
      <c r="G1178" s="8">
        <v>2800</v>
      </c>
      <c r="H1178" s="8">
        <v>425.42</v>
      </c>
      <c r="I1178" s="8">
        <v>3225.42</v>
      </c>
      <c r="J1178" s="7" t="s">
        <v>14</v>
      </c>
    </row>
    <row r="1179" spans="1:10" x14ac:dyDescent="0.3">
      <c r="A1179" s="10">
        <v>43567</v>
      </c>
      <c r="B1179" t="s">
        <v>61</v>
      </c>
      <c r="C1179" s="8">
        <v>0</v>
      </c>
      <c r="D1179" s="7">
        <v>0</v>
      </c>
      <c r="E1179" s="8">
        <v>-0.01</v>
      </c>
      <c r="F1179" s="8">
        <v>0.01</v>
      </c>
      <c r="G1179" s="8">
        <v>0</v>
      </c>
      <c r="H1179" s="8">
        <v>0</v>
      </c>
      <c r="I1179" s="8">
        <v>0</v>
      </c>
    </row>
    <row r="1180" spans="1:10" x14ac:dyDescent="0.3">
      <c r="A1180" s="10">
        <v>43581</v>
      </c>
      <c r="B1180" t="s">
        <v>61</v>
      </c>
      <c r="C1180" s="8">
        <v>2262</v>
      </c>
      <c r="D1180" s="7">
        <v>80</v>
      </c>
      <c r="E1180" s="8">
        <v>538</v>
      </c>
      <c r="F1180" s="8">
        <v>0</v>
      </c>
      <c r="G1180" s="8">
        <v>2800</v>
      </c>
      <c r="H1180" s="8">
        <v>420.66</v>
      </c>
      <c r="I1180" s="8">
        <v>3220.66</v>
      </c>
      <c r="J1180" s="7" t="s">
        <v>14</v>
      </c>
    </row>
    <row r="1181" spans="1:10" x14ac:dyDescent="0.3">
      <c r="A1181" s="10">
        <v>43595</v>
      </c>
      <c r="B1181" t="s">
        <v>61</v>
      </c>
      <c r="C1181" s="8">
        <v>2162</v>
      </c>
      <c r="D1181" s="7">
        <v>80</v>
      </c>
      <c r="E1181" s="8">
        <v>638</v>
      </c>
      <c r="F1181" s="8">
        <v>0</v>
      </c>
      <c r="G1181" s="8">
        <v>2800</v>
      </c>
      <c r="H1181" s="8">
        <v>420.66</v>
      </c>
      <c r="I1181" s="8">
        <v>3220.66</v>
      </c>
      <c r="J1181" s="7" t="s">
        <v>14</v>
      </c>
    </row>
    <row r="1182" spans="1:10" x14ac:dyDescent="0.3">
      <c r="A1182" s="10">
        <v>43609</v>
      </c>
      <c r="B1182" t="s">
        <v>61</v>
      </c>
      <c r="C1182" s="8">
        <v>2300</v>
      </c>
      <c r="D1182" s="7">
        <v>80</v>
      </c>
      <c r="E1182" s="8">
        <v>537.94000000000005</v>
      </c>
      <c r="F1182" s="8">
        <v>0</v>
      </c>
      <c r="G1182" s="8">
        <v>2837.94</v>
      </c>
      <c r="H1182" s="8">
        <v>424.18</v>
      </c>
      <c r="I1182" s="8">
        <v>3262.12</v>
      </c>
      <c r="J1182" s="7" t="s">
        <v>14</v>
      </c>
    </row>
    <row r="1183" spans="1:10" x14ac:dyDescent="0.3">
      <c r="A1183" s="10">
        <v>43623</v>
      </c>
      <c r="B1183" t="s">
        <v>61</v>
      </c>
      <c r="C1183" s="8">
        <v>1950</v>
      </c>
      <c r="D1183" s="7">
        <v>78</v>
      </c>
      <c r="E1183" s="8">
        <v>780</v>
      </c>
      <c r="F1183" s="8">
        <v>0</v>
      </c>
      <c r="G1183" s="8">
        <v>2730</v>
      </c>
      <c r="H1183" s="8">
        <v>410.15</v>
      </c>
      <c r="I1183" s="8">
        <v>3140.15</v>
      </c>
      <c r="J1183" s="7" t="s">
        <v>14</v>
      </c>
    </row>
    <row r="1184" spans="1:10" x14ac:dyDescent="0.3">
      <c r="A1184" s="10">
        <v>43637</v>
      </c>
      <c r="B1184" t="s">
        <v>61</v>
      </c>
      <c r="C1184" s="8">
        <v>2992</v>
      </c>
      <c r="D1184" s="7">
        <v>78</v>
      </c>
      <c r="E1184" s="8">
        <v>519.92999999999995</v>
      </c>
      <c r="F1184" s="8">
        <v>20</v>
      </c>
      <c r="G1184" s="8">
        <v>3531.93</v>
      </c>
      <c r="H1184" s="8">
        <v>484.64</v>
      </c>
      <c r="I1184" s="8">
        <v>4016.57</v>
      </c>
      <c r="J1184" s="7" t="s">
        <v>14</v>
      </c>
    </row>
    <row r="1185" spans="1:10" x14ac:dyDescent="0.3">
      <c r="A1185" s="10">
        <v>43651</v>
      </c>
      <c r="B1185" t="s">
        <v>61</v>
      </c>
      <c r="C1185" s="8">
        <v>1732</v>
      </c>
      <c r="D1185" s="7">
        <v>70</v>
      </c>
      <c r="E1185" s="8">
        <v>191.57</v>
      </c>
      <c r="F1185" s="8">
        <v>30</v>
      </c>
      <c r="G1185" s="8">
        <v>1953.57</v>
      </c>
      <c r="H1185" s="8">
        <v>321.95999999999998</v>
      </c>
      <c r="I1185" s="8">
        <v>2275.5300000000002</v>
      </c>
      <c r="J1185" s="7" t="s">
        <v>14</v>
      </c>
    </row>
    <row r="1186" spans="1:10" x14ac:dyDescent="0.3">
      <c r="A1186" s="10">
        <v>43665</v>
      </c>
      <c r="B1186" t="s">
        <v>61</v>
      </c>
      <c r="C1186" s="8">
        <v>1647</v>
      </c>
      <c r="D1186" s="7">
        <v>68</v>
      </c>
      <c r="E1186" s="8">
        <v>204.64</v>
      </c>
      <c r="F1186" s="8">
        <v>65</v>
      </c>
      <c r="G1186" s="8">
        <v>1916.64</v>
      </c>
      <c r="H1186" s="8">
        <v>314.51</v>
      </c>
      <c r="I1186" s="8">
        <v>2231.15</v>
      </c>
      <c r="J1186" s="7" t="s">
        <v>14</v>
      </c>
    </row>
    <row r="1187" spans="1:10" x14ac:dyDescent="0.3">
      <c r="A1187" s="10">
        <v>43679</v>
      </c>
      <c r="B1187" t="s">
        <v>61</v>
      </c>
      <c r="C1187" s="8">
        <v>2862</v>
      </c>
      <c r="D1187" s="7">
        <v>80</v>
      </c>
      <c r="E1187" s="8">
        <v>483.97</v>
      </c>
      <c r="F1187" s="8">
        <v>-0.06</v>
      </c>
      <c r="G1187" s="8">
        <v>3345.91</v>
      </c>
      <c r="H1187" s="8">
        <v>471.37</v>
      </c>
      <c r="I1187" s="8">
        <v>3817.28</v>
      </c>
      <c r="J1187" s="7" t="s">
        <v>14</v>
      </c>
    </row>
    <row r="1188" spans="1:10" x14ac:dyDescent="0.3">
      <c r="A1188" s="10">
        <v>43693</v>
      </c>
      <c r="B1188" t="s">
        <v>61</v>
      </c>
      <c r="C1188" s="8">
        <v>2362</v>
      </c>
      <c r="D1188" s="7">
        <v>80</v>
      </c>
      <c r="E1188" s="8">
        <v>372.16</v>
      </c>
      <c r="F1188" s="8">
        <v>50</v>
      </c>
      <c r="G1188" s="8">
        <v>2784.16</v>
      </c>
      <c r="H1188" s="8">
        <v>419.19</v>
      </c>
      <c r="I1188" s="8">
        <v>3203.35</v>
      </c>
      <c r="J1188" s="7" t="s">
        <v>14</v>
      </c>
    </row>
    <row r="1189" spans="1:10" x14ac:dyDescent="0.3">
      <c r="A1189" s="10">
        <v>43707</v>
      </c>
      <c r="B1189" t="s">
        <v>61</v>
      </c>
      <c r="C1189" s="8">
        <v>3300</v>
      </c>
      <c r="D1189" s="7">
        <v>80</v>
      </c>
      <c r="E1189" s="8">
        <v>605.24</v>
      </c>
      <c r="F1189" s="8">
        <v>50</v>
      </c>
      <c r="G1189" s="8">
        <v>3955.24</v>
      </c>
      <c r="H1189" s="8">
        <v>503.04</v>
      </c>
      <c r="I1189" s="8">
        <v>4458.28</v>
      </c>
      <c r="J1189" s="7" t="s">
        <v>14</v>
      </c>
    </row>
    <row r="1190" spans="1:10" x14ac:dyDescent="0.3">
      <c r="A1190" s="10">
        <v>43721</v>
      </c>
      <c r="B1190" t="s">
        <v>61</v>
      </c>
      <c r="C1190" s="8">
        <v>2350</v>
      </c>
      <c r="D1190" s="7">
        <v>80</v>
      </c>
      <c r="E1190" s="8">
        <v>356.76</v>
      </c>
      <c r="F1190" s="8">
        <v>0</v>
      </c>
      <c r="G1190" s="8">
        <v>2706.76</v>
      </c>
      <c r="H1190" s="8">
        <v>367.61</v>
      </c>
      <c r="I1190" s="8">
        <v>3074.37</v>
      </c>
      <c r="J1190" s="7" t="s">
        <v>14</v>
      </c>
    </row>
    <row r="1191" spans="1:10" x14ac:dyDescent="0.3">
      <c r="A1191" s="10">
        <v>43735</v>
      </c>
      <c r="B1191" t="s">
        <v>61</v>
      </c>
      <c r="C1191" s="8">
        <v>2950</v>
      </c>
      <c r="D1191" s="7">
        <v>80</v>
      </c>
      <c r="E1191" s="8">
        <v>505.84</v>
      </c>
      <c r="F1191" s="8">
        <v>0</v>
      </c>
      <c r="G1191" s="8">
        <v>3455.84</v>
      </c>
      <c r="H1191" s="8">
        <v>424.91</v>
      </c>
      <c r="I1191" s="8">
        <v>3880.75</v>
      </c>
      <c r="J1191" s="7" t="s">
        <v>14</v>
      </c>
    </row>
    <row r="1192" spans="1:10" x14ac:dyDescent="0.3">
      <c r="A1192" s="10">
        <v>43749</v>
      </c>
      <c r="B1192" t="s">
        <v>61</v>
      </c>
      <c r="C1192" s="8">
        <v>3180</v>
      </c>
      <c r="D1192" s="7">
        <v>80</v>
      </c>
      <c r="E1192" s="8">
        <v>580.4</v>
      </c>
      <c r="F1192" s="8">
        <v>70</v>
      </c>
      <c r="G1192" s="8">
        <v>3830.4</v>
      </c>
      <c r="H1192" s="8">
        <v>453.57</v>
      </c>
      <c r="I1192" s="8">
        <v>4283.97</v>
      </c>
      <c r="J1192" s="7" t="s">
        <v>14</v>
      </c>
    </row>
    <row r="1193" spans="1:10" x14ac:dyDescent="0.3">
      <c r="A1193" s="10">
        <v>43763</v>
      </c>
      <c r="B1193" t="s">
        <v>61</v>
      </c>
      <c r="C1193" s="8">
        <v>2335</v>
      </c>
      <c r="D1193" s="7">
        <v>80</v>
      </c>
      <c r="E1193" s="8">
        <v>362.96</v>
      </c>
      <c r="F1193" s="8">
        <v>40</v>
      </c>
      <c r="G1193" s="8">
        <v>2737.96</v>
      </c>
      <c r="H1193" s="8">
        <v>369.99</v>
      </c>
      <c r="I1193" s="8">
        <v>3107.95</v>
      </c>
      <c r="J1193" s="7" t="s">
        <v>14</v>
      </c>
    </row>
    <row r="1194" spans="1:10" x14ac:dyDescent="0.3">
      <c r="A1194" s="10">
        <v>43777</v>
      </c>
      <c r="B1194" t="s">
        <v>61</v>
      </c>
      <c r="C1194" s="8">
        <v>2950</v>
      </c>
      <c r="D1194" s="7">
        <v>80</v>
      </c>
      <c r="E1194" s="8">
        <v>518.27</v>
      </c>
      <c r="F1194" s="8">
        <v>50</v>
      </c>
      <c r="G1194" s="8">
        <v>3518.27</v>
      </c>
      <c r="H1194" s="8">
        <v>429.69</v>
      </c>
      <c r="I1194" s="8">
        <v>3947.96</v>
      </c>
      <c r="J1194" s="7" t="s">
        <v>14</v>
      </c>
    </row>
    <row r="1195" spans="1:10" x14ac:dyDescent="0.3">
      <c r="A1195" s="10">
        <v>43791</v>
      </c>
      <c r="B1195" t="s">
        <v>61</v>
      </c>
      <c r="C1195" s="8">
        <v>1837</v>
      </c>
      <c r="D1195" s="7">
        <v>80</v>
      </c>
      <c r="E1195" s="8">
        <v>239.66</v>
      </c>
      <c r="F1195" s="8">
        <v>0</v>
      </c>
      <c r="G1195" s="8">
        <v>2076.66</v>
      </c>
      <c r="H1195" s="8">
        <v>319.41000000000003</v>
      </c>
      <c r="I1195" s="8">
        <v>2396.0700000000002</v>
      </c>
      <c r="J1195" s="7" t="s">
        <v>14</v>
      </c>
    </row>
    <row r="1196" spans="1:10" x14ac:dyDescent="0.3">
      <c r="A1196" s="10">
        <v>43805</v>
      </c>
      <c r="B1196" t="s">
        <v>61</v>
      </c>
      <c r="C1196" s="8">
        <v>2150</v>
      </c>
      <c r="D1196" s="7">
        <v>80</v>
      </c>
      <c r="E1196" s="8">
        <v>307.92</v>
      </c>
      <c r="F1196" s="8">
        <v>0</v>
      </c>
      <c r="G1196" s="8">
        <v>2457.92</v>
      </c>
      <c r="H1196" s="8">
        <v>348.57</v>
      </c>
      <c r="I1196" s="8">
        <v>2806.49</v>
      </c>
      <c r="J1196" s="7" t="s">
        <v>14</v>
      </c>
    </row>
    <row r="1197" spans="1:10" x14ac:dyDescent="0.3">
      <c r="A1197" s="10">
        <v>43819</v>
      </c>
      <c r="B1197" t="s">
        <v>61</v>
      </c>
      <c r="C1197" s="8">
        <v>2887</v>
      </c>
      <c r="D1197" s="7">
        <v>80</v>
      </c>
      <c r="E1197" s="8">
        <v>490.18</v>
      </c>
      <c r="F1197" s="8">
        <v>0</v>
      </c>
      <c r="G1197" s="8">
        <v>3377.18</v>
      </c>
      <c r="H1197" s="8">
        <v>418.89</v>
      </c>
      <c r="I1197" s="8">
        <v>3796.07</v>
      </c>
      <c r="J1197" s="7" t="s">
        <v>14</v>
      </c>
    </row>
    <row r="1198" spans="1:10" x14ac:dyDescent="0.3">
      <c r="A1198" s="10">
        <v>43833</v>
      </c>
      <c r="B1198" t="s">
        <v>61</v>
      </c>
      <c r="C1198" s="8">
        <v>2622</v>
      </c>
      <c r="D1198" s="7">
        <v>80</v>
      </c>
      <c r="E1198" s="8">
        <v>418.81</v>
      </c>
      <c r="F1198" s="8">
        <v>0</v>
      </c>
      <c r="G1198" s="8">
        <v>3040.81</v>
      </c>
      <c r="H1198" s="8">
        <v>461.27</v>
      </c>
      <c r="I1198" s="8">
        <v>3502.08</v>
      </c>
      <c r="J1198" s="7" t="s">
        <v>14</v>
      </c>
    </row>
    <row r="1199" spans="1:10" x14ac:dyDescent="0.3">
      <c r="A1199" s="10">
        <v>43847</v>
      </c>
      <c r="B1199" t="s">
        <v>61</v>
      </c>
      <c r="C1199" s="8">
        <v>2958</v>
      </c>
      <c r="D1199" s="7">
        <v>58</v>
      </c>
      <c r="E1199" s="8">
        <v>390.66</v>
      </c>
      <c r="F1199" s="8">
        <v>0</v>
      </c>
      <c r="G1199" s="8">
        <v>3348.66</v>
      </c>
      <c r="H1199" s="8">
        <v>408.94</v>
      </c>
      <c r="I1199" s="8">
        <v>3757.6</v>
      </c>
      <c r="J1199" s="7" t="s">
        <v>14</v>
      </c>
    </row>
    <row r="1200" spans="1:10" x14ac:dyDescent="0.3">
      <c r="A1200" s="10">
        <v>43861</v>
      </c>
      <c r="B1200" t="s">
        <v>61</v>
      </c>
      <c r="C1200" s="8">
        <v>0</v>
      </c>
      <c r="D1200" s="7">
        <v>0</v>
      </c>
      <c r="E1200" s="8">
        <v>0</v>
      </c>
      <c r="F1200" s="8">
        <v>0</v>
      </c>
      <c r="G1200" s="8">
        <v>0</v>
      </c>
      <c r="H1200" s="8">
        <v>-155.16</v>
      </c>
      <c r="I1200" s="8">
        <v>-155.16</v>
      </c>
    </row>
    <row r="1201" spans="1:10" x14ac:dyDescent="0.3">
      <c r="A1201" s="10">
        <v>43861</v>
      </c>
      <c r="B1201" t="s">
        <v>61</v>
      </c>
      <c r="C1201" s="8">
        <v>3255</v>
      </c>
      <c r="D1201" s="7">
        <v>80</v>
      </c>
      <c r="E1201" s="8">
        <v>463.84</v>
      </c>
      <c r="F1201" s="8">
        <v>12</v>
      </c>
      <c r="G1201" s="8">
        <v>3730.84</v>
      </c>
      <c r="H1201" s="8">
        <v>470.05</v>
      </c>
      <c r="I1201" s="8">
        <v>4200.8900000000003</v>
      </c>
      <c r="J1201" s="7" t="s">
        <v>14</v>
      </c>
    </row>
    <row r="1202" spans="1:10" x14ac:dyDescent="0.3">
      <c r="A1202" s="10">
        <v>43875</v>
      </c>
      <c r="B1202" t="s">
        <v>61</v>
      </c>
      <c r="C1202" s="8">
        <v>2578</v>
      </c>
      <c r="D1202" s="7">
        <v>80</v>
      </c>
      <c r="E1202" s="8">
        <v>317.89999999999998</v>
      </c>
      <c r="F1202" s="8">
        <v>0</v>
      </c>
      <c r="G1202" s="8">
        <v>2895.9</v>
      </c>
      <c r="H1202" s="8">
        <v>351.93</v>
      </c>
      <c r="I1202" s="8">
        <v>3247.83</v>
      </c>
      <c r="J1202" s="7" t="s">
        <v>14</v>
      </c>
    </row>
    <row r="1203" spans="1:10" x14ac:dyDescent="0.3">
      <c r="A1203" s="10">
        <v>43889</v>
      </c>
      <c r="B1203" t="s">
        <v>61</v>
      </c>
      <c r="C1203" s="8">
        <v>3486</v>
      </c>
      <c r="D1203" s="7">
        <v>80</v>
      </c>
      <c r="E1203" s="8">
        <v>498.6</v>
      </c>
      <c r="F1203" s="8">
        <v>0</v>
      </c>
      <c r="G1203" s="8">
        <v>3984.6</v>
      </c>
      <c r="H1203" s="8">
        <v>436.26</v>
      </c>
      <c r="I1203" s="8">
        <v>4420.8599999999997</v>
      </c>
      <c r="J1203" s="7" t="s">
        <v>14</v>
      </c>
    </row>
    <row r="1204" spans="1:10" x14ac:dyDescent="0.3">
      <c r="A1204" s="10">
        <v>43903</v>
      </c>
      <c r="B1204" t="s">
        <v>61</v>
      </c>
      <c r="C1204" s="8">
        <v>2310</v>
      </c>
      <c r="D1204" s="7">
        <v>80</v>
      </c>
      <c r="E1204" s="8">
        <v>269.14999999999998</v>
      </c>
      <c r="F1204" s="8">
        <v>0</v>
      </c>
      <c r="G1204" s="8">
        <v>2579.15</v>
      </c>
      <c r="H1204" s="8">
        <v>327.02</v>
      </c>
      <c r="I1204" s="8">
        <v>2906.17</v>
      </c>
      <c r="J1204" s="7" t="s">
        <v>14</v>
      </c>
    </row>
    <row r="1205" spans="1:10" x14ac:dyDescent="0.3">
      <c r="A1205" s="10">
        <v>43917</v>
      </c>
      <c r="B1205" t="s">
        <v>61</v>
      </c>
      <c r="C1205" s="8">
        <v>0</v>
      </c>
      <c r="D1205" s="7">
        <v>0</v>
      </c>
      <c r="E1205" s="8">
        <v>0</v>
      </c>
      <c r="F1205" s="8">
        <v>0</v>
      </c>
      <c r="G1205" s="8">
        <v>0</v>
      </c>
      <c r="H1205" s="8">
        <v>229.39</v>
      </c>
      <c r="I1205" s="8">
        <v>229.39</v>
      </c>
    </row>
    <row r="1206" spans="1:10" x14ac:dyDescent="0.3">
      <c r="A1206" s="10">
        <v>43917</v>
      </c>
      <c r="B1206" t="s">
        <v>61</v>
      </c>
      <c r="C1206" s="8">
        <v>0</v>
      </c>
      <c r="D1206" s="7">
        <v>0</v>
      </c>
      <c r="E1206" s="8">
        <v>0</v>
      </c>
      <c r="F1206" s="8">
        <v>0</v>
      </c>
      <c r="G1206" s="8">
        <v>0</v>
      </c>
      <c r="H1206" s="8">
        <v>-312.14</v>
      </c>
      <c r="I1206" s="8">
        <v>-312.14</v>
      </c>
    </row>
    <row r="1207" spans="1:10" x14ac:dyDescent="0.3">
      <c r="A1207" s="10">
        <v>43917</v>
      </c>
      <c r="B1207" t="s">
        <v>61</v>
      </c>
      <c r="C1207" s="8">
        <v>0</v>
      </c>
      <c r="D1207" s="7">
        <v>0</v>
      </c>
      <c r="E1207" s="8">
        <v>0</v>
      </c>
      <c r="F1207" s="8">
        <v>0</v>
      </c>
      <c r="G1207" s="8">
        <v>0</v>
      </c>
      <c r="H1207" s="8">
        <v>2.0499999999999998</v>
      </c>
      <c r="I1207" s="8">
        <v>2.0499999999999998</v>
      </c>
    </row>
    <row r="1208" spans="1:10" x14ac:dyDescent="0.3">
      <c r="A1208" s="10">
        <v>43917</v>
      </c>
      <c r="B1208" t="s">
        <v>61</v>
      </c>
      <c r="C1208" s="8">
        <v>2511.87</v>
      </c>
      <c r="D1208" s="7">
        <v>87</v>
      </c>
      <c r="E1208" s="8">
        <v>384.13</v>
      </c>
      <c r="F1208" s="8">
        <v>0</v>
      </c>
      <c r="G1208" s="8">
        <v>2896</v>
      </c>
      <c r="H1208" s="8">
        <v>391.29</v>
      </c>
      <c r="I1208" s="8">
        <v>3287.29</v>
      </c>
      <c r="J1208" s="7" t="s">
        <v>14</v>
      </c>
    </row>
    <row r="1209" spans="1:10" x14ac:dyDescent="0.3">
      <c r="A1209" s="10">
        <v>43931</v>
      </c>
      <c r="B1209" t="s">
        <v>61</v>
      </c>
      <c r="C1209" s="8">
        <v>1162</v>
      </c>
      <c r="D1209" s="7">
        <v>40</v>
      </c>
      <c r="E1209" s="8">
        <v>118</v>
      </c>
      <c r="F1209" s="8">
        <v>0</v>
      </c>
      <c r="G1209" s="8">
        <v>1280</v>
      </c>
      <c r="H1209" s="8">
        <v>175.13</v>
      </c>
      <c r="I1209" s="8">
        <v>1455.13</v>
      </c>
      <c r="J1209" s="7" t="s">
        <v>14</v>
      </c>
    </row>
    <row r="1210" spans="1:10" x14ac:dyDescent="0.3">
      <c r="A1210" s="10">
        <v>43931</v>
      </c>
      <c r="B1210" t="s">
        <v>61</v>
      </c>
      <c r="C1210" s="8">
        <v>0</v>
      </c>
      <c r="D1210" s="7">
        <v>0</v>
      </c>
      <c r="E1210" s="8">
        <v>0</v>
      </c>
      <c r="F1210" s="8">
        <v>0</v>
      </c>
      <c r="G1210" s="8">
        <v>0</v>
      </c>
      <c r="H1210" s="8">
        <v>-19.46</v>
      </c>
      <c r="I1210" s="8">
        <v>-19.46</v>
      </c>
    </row>
    <row r="1211" spans="1:10" x14ac:dyDescent="0.3">
      <c r="A1211" s="10">
        <v>43931</v>
      </c>
      <c r="B1211" t="s">
        <v>61</v>
      </c>
      <c r="C1211" s="8">
        <v>0</v>
      </c>
      <c r="D1211" s="7">
        <v>0</v>
      </c>
      <c r="E1211" s="8">
        <v>0</v>
      </c>
      <c r="F1211" s="8">
        <v>0</v>
      </c>
      <c r="G1211" s="8">
        <v>0</v>
      </c>
      <c r="H1211" s="8">
        <v>0.12</v>
      </c>
      <c r="I1211" s="8">
        <v>0.12</v>
      </c>
    </row>
    <row r="1212" spans="1:10" x14ac:dyDescent="0.3">
      <c r="A1212" s="10">
        <v>43931</v>
      </c>
      <c r="B1212" t="s">
        <v>61</v>
      </c>
      <c r="C1212" s="8">
        <v>0</v>
      </c>
      <c r="D1212" s="7">
        <v>0</v>
      </c>
      <c r="E1212" s="8">
        <v>0</v>
      </c>
      <c r="F1212" s="8">
        <v>0</v>
      </c>
      <c r="G1212" s="8">
        <v>0</v>
      </c>
      <c r="H1212" s="8">
        <v>16.84</v>
      </c>
      <c r="I1212" s="8">
        <v>16.84</v>
      </c>
    </row>
    <row r="1213" spans="1:10" x14ac:dyDescent="0.3">
      <c r="A1213" s="10">
        <v>43945</v>
      </c>
      <c r="B1213" t="s">
        <v>61</v>
      </c>
      <c r="C1213" s="8">
        <v>500.25</v>
      </c>
      <c r="D1213" s="7">
        <v>17.22</v>
      </c>
      <c r="E1213" s="8">
        <v>50.79</v>
      </c>
      <c r="F1213" s="8">
        <v>0</v>
      </c>
      <c r="G1213" s="8">
        <v>551.04</v>
      </c>
      <c r="H1213" s="8">
        <v>74.319999999999993</v>
      </c>
      <c r="I1213" s="8">
        <v>625.36</v>
      </c>
      <c r="J1213" s="7" t="s">
        <v>14</v>
      </c>
    </row>
    <row r="1214" spans="1:10" x14ac:dyDescent="0.3">
      <c r="A1214" s="10">
        <v>43959</v>
      </c>
      <c r="B1214" t="s">
        <v>61</v>
      </c>
      <c r="C1214" s="8">
        <v>700.11</v>
      </c>
      <c r="D1214" s="7">
        <v>24.1</v>
      </c>
      <c r="E1214" s="8">
        <v>71.09</v>
      </c>
      <c r="F1214" s="8">
        <v>0</v>
      </c>
      <c r="G1214" s="8">
        <v>771.2</v>
      </c>
      <c r="H1214" s="8">
        <v>104.01</v>
      </c>
      <c r="I1214" s="8">
        <v>875.21</v>
      </c>
      <c r="J1214" s="7" t="s">
        <v>14</v>
      </c>
    </row>
    <row r="1215" spans="1:10" x14ac:dyDescent="0.3">
      <c r="A1215" s="10">
        <v>43973</v>
      </c>
      <c r="B1215" t="s">
        <v>61</v>
      </c>
      <c r="C1215" s="8">
        <v>1583.23</v>
      </c>
      <c r="D1215" s="7">
        <v>54.5</v>
      </c>
      <c r="E1215" s="8">
        <v>160.77000000000001</v>
      </c>
      <c r="F1215" s="8">
        <v>0</v>
      </c>
      <c r="G1215" s="8">
        <v>1744</v>
      </c>
      <c r="H1215" s="8">
        <v>235.21</v>
      </c>
      <c r="I1215" s="8">
        <v>1979.21</v>
      </c>
      <c r="J1215" s="7" t="s">
        <v>14</v>
      </c>
    </row>
    <row r="1216" spans="1:10" x14ac:dyDescent="0.3">
      <c r="A1216" s="10">
        <v>43987</v>
      </c>
      <c r="B1216" t="s">
        <v>61</v>
      </c>
      <c r="C1216" s="8">
        <v>3661.13</v>
      </c>
      <c r="D1216" s="7">
        <v>109.5</v>
      </c>
      <c r="E1216" s="8">
        <v>633.27</v>
      </c>
      <c r="F1216" s="8">
        <v>0</v>
      </c>
      <c r="G1216" s="8">
        <v>4294.3999999999996</v>
      </c>
      <c r="H1216" s="8">
        <v>518.95000000000005</v>
      </c>
      <c r="I1216" s="8">
        <v>4813.3500000000004</v>
      </c>
      <c r="J1216" s="7" t="s">
        <v>14</v>
      </c>
    </row>
    <row r="1217" spans="1:10" x14ac:dyDescent="0.3">
      <c r="A1217" s="21" t="s">
        <v>15</v>
      </c>
      <c r="B1217" s="22" t="str">
        <f>+B1216</f>
        <v>Roberto Hiralez Colin</v>
      </c>
      <c r="C1217" s="23">
        <f>SUM(C1158:C1216)</f>
        <v>97398.59</v>
      </c>
      <c r="D1217" s="23">
        <f t="shared" ref="D1217:I1217" si="45">SUM(D1158:D1216)</f>
        <v>2960.8199999999997</v>
      </c>
      <c r="E1217" s="23">
        <f t="shared" si="45"/>
        <v>17055.679999999997</v>
      </c>
      <c r="F1217" s="23">
        <f t="shared" si="45"/>
        <v>387</v>
      </c>
      <c r="G1217" s="23">
        <f t="shared" si="45"/>
        <v>114841.26999999997</v>
      </c>
      <c r="H1217" s="23">
        <f t="shared" si="45"/>
        <v>15526.530000000002</v>
      </c>
      <c r="I1217" s="23">
        <f t="shared" si="45"/>
        <v>130367.80000000005</v>
      </c>
      <c r="J1217" s="24"/>
    </row>
    <row r="1218" spans="1:10" x14ac:dyDescent="0.3">
      <c r="A1218" s="10">
        <v>43903</v>
      </c>
      <c r="B1218" t="s">
        <v>62</v>
      </c>
      <c r="C1218" s="8">
        <v>720</v>
      </c>
      <c r="D1218" s="7">
        <v>40</v>
      </c>
      <c r="E1218" s="8">
        <v>73.739999999999995</v>
      </c>
      <c r="F1218" s="8">
        <v>0</v>
      </c>
      <c r="G1218" s="8">
        <v>793.74</v>
      </c>
      <c r="H1218" s="8">
        <v>127.41</v>
      </c>
      <c r="I1218" s="8">
        <v>921.15</v>
      </c>
      <c r="J1218" s="7">
        <v>100202</v>
      </c>
    </row>
    <row r="1219" spans="1:10" x14ac:dyDescent="0.3">
      <c r="A1219" s="10">
        <v>43917</v>
      </c>
      <c r="B1219" t="s">
        <v>62</v>
      </c>
      <c r="C1219" s="8">
        <v>0</v>
      </c>
      <c r="D1219" s="7">
        <v>0</v>
      </c>
      <c r="E1219" s="8">
        <v>0</v>
      </c>
      <c r="F1219" s="8">
        <v>0</v>
      </c>
      <c r="G1219" s="8">
        <v>0</v>
      </c>
      <c r="H1219" s="8">
        <v>-37.74</v>
      </c>
      <c r="I1219" s="8">
        <v>-37.74</v>
      </c>
    </row>
    <row r="1220" spans="1:10" x14ac:dyDescent="0.3">
      <c r="A1220" s="10">
        <v>43917</v>
      </c>
      <c r="B1220" t="s">
        <v>62</v>
      </c>
      <c r="C1220" s="8">
        <v>1588.31</v>
      </c>
      <c r="D1220" s="7">
        <v>84</v>
      </c>
      <c r="E1220" s="8">
        <v>174.69</v>
      </c>
      <c r="F1220" s="8">
        <v>0</v>
      </c>
      <c r="G1220" s="8">
        <v>1763</v>
      </c>
      <c r="H1220" s="8">
        <v>292.39999999999998</v>
      </c>
      <c r="I1220" s="8">
        <v>2055.4</v>
      </c>
      <c r="J1220" s="7">
        <v>100205</v>
      </c>
    </row>
    <row r="1221" spans="1:10" x14ac:dyDescent="0.3">
      <c r="A1221" s="10">
        <v>43917</v>
      </c>
      <c r="B1221" t="s">
        <v>62</v>
      </c>
      <c r="C1221" s="8">
        <v>0</v>
      </c>
      <c r="D1221" s="7">
        <v>0</v>
      </c>
      <c r="E1221" s="8">
        <v>0</v>
      </c>
      <c r="F1221" s="8">
        <v>0</v>
      </c>
      <c r="G1221" s="8">
        <v>0</v>
      </c>
      <c r="H1221" s="8">
        <v>0.25</v>
      </c>
      <c r="I1221" s="8">
        <v>0.25</v>
      </c>
    </row>
    <row r="1222" spans="1:10" x14ac:dyDescent="0.3">
      <c r="A1222" s="10">
        <v>43917</v>
      </c>
      <c r="B1222" t="s">
        <v>62</v>
      </c>
      <c r="C1222" s="8">
        <v>0</v>
      </c>
      <c r="D1222" s="7">
        <v>0</v>
      </c>
      <c r="E1222" s="8">
        <v>0</v>
      </c>
      <c r="F1222" s="8">
        <v>0</v>
      </c>
      <c r="G1222" s="8">
        <v>0</v>
      </c>
      <c r="H1222" s="8">
        <v>52.19</v>
      </c>
      <c r="I1222" s="8">
        <v>52.19</v>
      </c>
    </row>
    <row r="1223" spans="1:10" x14ac:dyDescent="0.3">
      <c r="A1223" s="10">
        <v>43931</v>
      </c>
      <c r="B1223" t="s">
        <v>62</v>
      </c>
      <c r="C1223" s="8">
        <v>738.36</v>
      </c>
      <c r="D1223" s="7">
        <v>40</v>
      </c>
      <c r="E1223" s="8">
        <v>81.64</v>
      </c>
      <c r="F1223" s="8">
        <v>0</v>
      </c>
      <c r="G1223" s="8">
        <v>820</v>
      </c>
      <c r="H1223" s="8">
        <v>137.30000000000001</v>
      </c>
      <c r="I1223" s="8">
        <v>957.3</v>
      </c>
      <c r="J1223" s="7">
        <v>100208</v>
      </c>
    </row>
    <row r="1224" spans="1:10" x14ac:dyDescent="0.3">
      <c r="A1224" s="10">
        <v>43931</v>
      </c>
      <c r="B1224" t="s">
        <v>62</v>
      </c>
      <c r="C1224" s="8">
        <v>0</v>
      </c>
      <c r="D1224" s="7">
        <v>0</v>
      </c>
      <c r="E1224" s="8">
        <v>0</v>
      </c>
      <c r="F1224" s="8">
        <v>0</v>
      </c>
      <c r="G1224" s="8">
        <v>0</v>
      </c>
      <c r="H1224" s="8">
        <v>-12.46</v>
      </c>
      <c r="I1224" s="8">
        <v>-12.46</v>
      </c>
    </row>
    <row r="1225" spans="1:10" x14ac:dyDescent="0.3">
      <c r="A1225" s="10">
        <v>43931</v>
      </c>
      <c r="B1225" t="s">
        <v>62</v>
      </c>
      <c r="C1225" s="8">
        <v>0</v>
      </c>
      <c r="D1225" s="7">
        <v>0</v>
      </c>
      <c r="E1225" s="8">
        <v>0</v>
      </c>
      <c r="F1225" s="8">
        <v>0</v>
      </c>
      <c r="G1225" s="8">
        <v>0</v>
      </c>
      <c r="H1225" s="8">
        <v>0.09</v>
      </c>
      <c r="I1225" s="8">
        <v>0.09</v>
      </c>
    </row>
    <row r="1226" spans="1:10" x14ac:dyDescent="0.3">
      <c r="A1226" s="10">
        <v>43931</v>
      </c>
      <c r="B1226" t="s">
        <v>62</v>
      </c>
      <c r="C1226" s="8">
        <v>0</v>
      </c>
      <c r="D1226" s="7">
        <v>0</v>
      </c>
      <c r="E1226" s="8">
        <v>0</v>
      </c>
      <c r="F1226" s="8">
        <v>0</v>
      </c>
      <c r="G1226" s="8">
        <v>0</v>
      </c>
      <c r="H1226" s="8">
        <v>16.84</v>
      </c>
      <c r="I1226" s="8">
        <v>16.84</v>
      </c>
    </row>
    <row r="1227" spans="1:10" x14ac:dyDescent="0.3">
      <c r="A1227" s="10">
        <v>43945</v>
      </c>
      <c r="B1227" t="s">
        <v>62</v>
      </c>
      <c r="C1227" s="8">
        <v>500.23</v>
      </c>
      <c r="D1227" s="7">
        <v>27.1</v>
      </c>
      <c r="E1227" s="8">
        <v>55.32</v>
      </c>
      <c r="F1227" s="8">
        <v>0</v>
      </c>
      <c r="G1227" s="8">
        <v>555.54999999999995</v>
      </c>
      <c r="H1227" s="8">
        <v>96.05</v>
      </c>
      <c r="I1227" s="8">
        <v>651.6</v>
      </c>
      <c r="J1227" s="7">
        <v>100211</v>
      </c>
    </row>
    <row r="1228" spans="1:10" x14ac:dyDescent="0.3">
      <c r="A1228" s="10">
        <v>43959</v>
      </c>
      <c r="B1228" t="s">
        <v>62</v>
      </c>
      <c r="C1228" s="8">
        <v>700.06</v>
      </c>
      <c r="D1228" s="7">
        <v>37.92</v>
      </c>
      <c r="E1228" s="8">
        <v>77.400000000000006</v>
      </c>
      <c r="F1228" s="8">
        <v>0</v>
      </c>
      <c r="G1228" s="8">
        <v>777.46</v>
      </c>
      <c r="H1228" s="8">
        <v>134.38999999999999</v>
      </c>
      <c r="I1228" s="8">
        <v>911.85</v>
      </c>
      <c r="J1228" s="7">
        <v>100215</v>
      </c>
    </row>
    <row r="1229" spans="1:10" x14ac:dyDescent="0.3">
      <c r="A1229" s="10">
        <v>43973</v>
      </c>
      <c r="B1229" t="s">
        <v>62</v>
      </c>
      <c r="C1229" s="8">
        <v>300</v>
      </c>
      <c r="D1229" s="7">
        <v>16.25</v>
      </c>
      <c r="E1229" s="8">
        <v>33.17</v>
      </c>
      <c r="F1229" s="8">
        <v>0</v>
      </c>
      <c r="G1229" s="8">
        <v>333.17</v>
      </c>
      <c r="H1229" s="8">
        <v>57.61</v>
      </c>
      <c r="I1229" s="8">
        <v>390.78</v>
      </c>
      <c r="J1229" s="7">
        <v>100218</v>
      </c>
    </row>
    <row r="1230" spans="1:10" x14ac:dyDescent="0.3">
      <c r="A1230" s="10">
        <v>43987</v>
      </c>
      <c r="B1230" t="s">
        <v>62</v>
      </c>
      <c r="C1230" s="8">
        <v>886.03</v>
      </c>
      <c r="D1230" s="7">
        <v>48</v>
      </c>
      <c r="E1230" s="8">
        <v>97.97</v>
      </c>
      <c r="F1230" s="8">
        <v>0</v>
      </c>
      <c r="G1230" s="8">
        <v>984</v>
      </c>
      <c r="H1230" s="8">
        <v>170.11</v>
      </c>
      <c r="I1230" s="8">
        <v>1154.1099999999999</v>
      </c>
      <c r="J1230" s="7">
        <v>100221</v>
      </c>
    </row>
    <row r="1231" spans="1:10" x14ac:dyDescent="0.3">
      <c r="A1231" s="21" t="s">
        <v>15</v>
      </c>
      <c r="B1231" s="22" t="str">
        <f>+B1230</f>
        <v>Roberto Lopez Hernandez</v>
      </c>
      <c r="C1231" s="23">
        <f>SUM(C1218:C1230)</f>
        <v>5432.99</v>
      </c>
      <c r="D1231" s="23">
        <f t="shared" ref="D1231:I1231" si="46">SUM(D1218:D1230)</f>
        <v>293.27</v>
      </c>
      <c r="E1231" s="23">
        <f t="shared" si="46"/>
        <v>593.92999999999995</v>
      </c>
      <c r="F1231" s="23">
        <f t="shared" si="46"/>
        <v>0</v>
      </c>
      <c r="G1231" s="23">
        <f t="shared" si="46"/>
        <v>6026.92</v>
      </c>
      <c r="H1231" s="23">
        <f t="shared" si="46"/>
        <v>1034.44</v>
      </c>
      <c r="I1231" s="23">
        <f t="shared" si="46"/>
        <v>7061.3600000000006</v>
      </c>
      <c r="J1231" s="24"/>
    </row>
    <row r="1232" spans="1:10" x14ac:dyDescent="0.3">
      <c r="A1232" s="10"/>
    </row>
    <row r="1234" spans="1:10" ht="24" x14ac:dyDescent="0.3">
      <c r="A1234" s="1" t="s">
        <v>3</v>
      </c>
      <c r="B1234" s="2" t="s">
        <v>4</v>
      </c>
      <c r="C1234" s="2" t="s">
        <v>5</v>
      </c>
      <c r="D1234" s="2" t="s">
        <v>6</v>
      </c>
      <c r="E1234" s="2" t="s">
        <v>63</v>
      </c>
      <c r="F1234" s="2" t="s">
        <v>64</v>
      </c>
      <c r="G1234" s="2" t="s">
        <v>65</v>
      </c>
      <c r="H1234" s="2" t="s">
        <v>66</v>
      </c>
      <c r="I1234" s="2" t="s">
        <v>67</v>
      </c>
      <c r="J1234" s="3" t="s">
        <v>68</v>
      </c>
    </row>
    <row r="1235" spans="1:10" x14ac:dyDescent="0.3">
      <c r="A1235" s="4" t="s">
        <v>69</v>
      </c>
      <c r="B1235" s="5" t="s">
        <v>15</v>
      </c>
      <c r="C1235" s="9">
        <v>1423702.4</v>
      </c>
      <c r="D1235" s="13">
        <v>59572.83</v>
      </c>
      <c r="E1235" s="9">
        <v>247115.6</v>
      </c>
      <c r="F1235" s="9">
        <v>79224.320000000007</v>
      </c>
      <c r="G1235" s="9">
        <v>1750042.32</v>
      </c>
      <c r="H1235" s="9">
        <v>261778.09</v>
      </c>
      <c r="I1235" s="9">
        <v>2011820.41</v>
      </c>
      <c r="J1235" s="6" t="s">
        <v>69</v>
      </c>
    </row>
    <row r="1237" spans="1:10" x14ac:dyDescent="0.3">
      <c r="B1237" s="18" t="s">
        <v>70</v>
      </c>
      <c r="C1237" s="14">
        <f t="shared" ref="C1237:I1237" si="47">SUM(C7:C1230)</f>
        <v>2841971.8099999987</v>
      </c>
      <c r="D1237" s="15">
        <f t="shared" si="47"/>
        <v>117852.39000000006</v>
      </c>
      <c r="E1237" s="14">
        <f t="shared" si="47"/>
        <v>489997.8599999994</v>
      </c>
      <c r="F1237" s="14">
        <f t="shared" si="47"/>
        <v>155382.62000000011</v>
      </c>
      <c r="G1237" s="14">
        <f t="shared" si="47"/>
        <v>3469179.09</v>
      </c>
      <c r="H1237" s="14">
        <f t="shared" si="47"/>
        <v>518130.51999999996</v>
      </c>
      <c r="I1237" s="14">
        <f t="shared" si="47"/>
        <v>3987309.609999998</v>
      </c>
    </row>
    <row r="1238" spans="1:10" x14ac:dyDescent="0.3">
      <c r="B1238" s="18" t="s">
        <v>71</v>
      </c>
      <c r="C1238" s="16">
        <f t="shared" ref="C1238:I1238" si="48">SUM(C638:C695)</f>
        <v>48252.380000000034</v>
      </c>
      <c r="D1238" s="19">
        <f t="shared" si="48"/>
        <v>4400</v>
      </c>
      <c r="E1238" s="20">
        <f t="shared" si="48"/>
        <v>9324.5800000000072</v>
      </c>
      <c r="F1238" s="20">
        <f t="shared" si="48"/>
        <v>1000</v>
      </c>
      <c r="G1238" s="20">
        <f t="shared" si="48"/>
        <v>58576.960000000021</v>
      </c>
      <c r="H1238" s="20">
        <f t="shared" si="48"/>
        <v>5739.6000000000013</v>
      </c>
      <c r="I1238" s="20">
        <f t="shared" si="48"/>
        <v>64316.560000000012</v>
      </c>
    </row>
    <row r="1239" spans="1:10" x14ac:dyDescent="0.3">
      <c r="B1239" s="18" t="s">
        <v>72</v>
      </c>
      <c r="C1239" s="17">
        <f>+C1237-C1238</f>
        <v>2793719.4299999988</v>
      </c>
      <c r="D1239" s="17">
        <f t="shared" ref="D1239:I1239" si="49">+D1237-D1238</f>
        <v>113452.39000000006</v>
      </c>
      <c r="E1239" s="17">
        <f t="shared" si="49"/>
        <v>480673.27999999939</v>
      </c>
      <c r="F1239" s="17">
        <f t="shared" si="49"/>
        <v>154382.62000000011</v>
      </c>
      <c r="G1239" s="17">
        <f t="shared" si="49"/>
        <v>3410602.13</v>
      </c>
      <c r="H1239" s="17">
        <f t="shared" si="49"/>
        <v>512390.92</v>
      </c>
      <c r="I1239" s="17">
        <f t="shared" si="49"/>
        <v>3922993.049999998</v>
      </c>
    </row>
  </sheetData>
  <sheetProtection algorithmName="SHA-512" hashValue="MChWOIXHMF2DFznKnh1pJn17waHo8qMC/0rFrFT1L9uPBfnbstzCdD3IVDg5VGzZSEyxOfBx1F+lxLCGJxxnYw==" saltValue="LTkaDGwOJI0s6p5INMLvuw==" spinCount="100000" sheet="1" objects="1" scenarios="1" selectLockedCells="1" selectUnlockedCells="1"/>
  <autoFilter ref="A6:J6" xr:uid="{F0FE80AA-F710-458B-8860-D3FF13194860}">
    <sortState xmlns:xlrd2="http://schemas.microsoft.com/office/spreadsheetml/2017/richdata2" ref="A7:J1184">
      <sortCondition ref="B6"/>
    </sortState>
  </autoFilter>
  <mergeCells count="3">
    <mergeCell ref="A1:J1"/>
    <mergeCell ref="A2:B2"/>
    <mergeCell ref="A4:C4"/>
  </mergeCells>
  <pageMargins left="0.7" right="0.7"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686E-E639-4218-9BFF-5ACD677F7125}">
  <dimension ref="A4:C731"/>
  <sheetViews>
    <sheetView workbookViewId="0">
      <selection sqref="A1:XFD1048576"/>
    </sheetView>
  </sheetViews>
  <sheetFormatPr defaultRowHeight="14.4" x14ac:dyDescent="0.3"/>
  <cols>
    <col min="1" max="1" width="31.44140625" bestFit="1" customWidth="1"/>
    <col min="2" max="2" width="12" bestFit="1" customWidth="1"/>
    <col min="3" max="3" width="8.109375" bestFit="1" customWidth="1"/>
    <col min="4" max="102" width="11" bestFit="1" customWidth="1"/>
    <col min="103" max="103" width="11.33203125" bestFit="1" customWidth="1"/>
  </cols>
  <sheetData>
    <row r="4" spans="1:3" x14ac:dyDescent="0.3">
      <c r="A4" s="45" t="s">
        <v>73</v>
      </c>
    </row>
    <row r="5" spans="1:3" x14ac:dyDescent="0.3">
      <c r="A5" s="45" t="s">
        <v>4</v>
      </c>
      <c r="B5" s="45" t="s">
        <v>74</v>
      </c>
      <c r="C5" t="s">
        <v>75</v>
      </c>
    </row>
    <row r="6" spans="1:3" x14ac:dyDescent="0.3">
      <c r="A6" t="s">
        <v>76</v>
      </c>
      <c r="B6" t="s">
        <v>77</v>
      </c>
      <c r="C6" s="58">
        <v>110</v>
      </c>
    </row>
    <row r="7" spans="1:3" x14ac:dyDescent="0.3">
      <c r="A7" t="s">
        <v>76</v>
      </c>
      <c r="B7" s="28">
        <v>43393</v>
      </c>
      <c r="C7" s="58">
        <v>30</v>
      </c>
    </row>
    <row r="8" spans="1:3" x14ac:dyDescent="0.3">
      <c r="A8" t="s">
        <v>76</v>
      </c>
      <c r="B8" s="28">
        <v>43407</v>
      </c>
      <c r="C8" s="58">
        <v>108</v>
      </c>
    </row>
    <row r="9" spans="1:3" x14ac:dyDescent="0.3">
      <c r="A9" t="s">
        <v>76</v>
      </c>
      <c r="B9" s="28">
        <v>43427</v>
      </c>
      <c r="C9" s="58">
        <v>114</v>
      </c>
    </row>
    <row r="10" spans="1:3" x14ac:dyDescent="0.3">
      <c r="A10" t="s">
        <v>76</v>
      </c>
      <c r="B10" s="28">
        <v>43441</v>
      </c>
      <c r="C10" s="58">
        <v>72</v>
      </c>
    </row>
    <row r="11" spans="1:3" x14ac:dyDescent="0.3">
      <c r="A11" t="s">
        <v>76</v>
      </c>
      <c r="B11" s="28">
        <v>43455</v>
      </c>
      <c r="C11" s="58">
        <v>80</v>
      </c>
    </row>
    <row r="12" spans="1:3" x14ac:dyDescent="0.3">
      <c r="A12" t="s">
        <v>76</v>
      </c>
      <c r="B12" s="28">
        <v>43469</v>
      </c>
      <c r="C12" s="58">
        <v>86</v>
      </c>
    </row>
    <row r="13" spans="1:3" x14ac:dyDescent="0.3">
      <c r="A13" t="s">
        <v>76</v>
      </c>
      <c r="B13" s="28">
        <v>43497</v>
      </c>
      <c r="C13" s="58">
        <v>110</v>
      </c>
    </row>
    <row r="14" spans="1:3" x14ac:dyDescent="0.3">
      <c r="A14" t="s">
        <v>76</v>
      </c>
      <c r="B14" s="28">
        <v>43511</v>
      </c>
      <c r="C14" s="58">
        <v>99.5</v>
      </c>
    </row>
    <row r="15" spans="1:3" x14ac:dyDescent="0.3">
      <c r="A15" t="s">
        <v>76</v>
      </c>
      <c r="B15" s="28">
        <v>43523</v>
      </c>
      <c r="C15" s="58">
        <v>95.5</v>
      </c>
    </row>
    <row r="16" spans="1:3" x14ac:dyDescent="0.3">
      <c r="A16" t="s">
        <v>76</v>
      </c>
      <c r="B16" s="28">
        <v>43539</v>
      </c>
      <c r="C16" s="58">
        <v>99.5</v>
      </c>
    </row>
    <row r="17" spans="1:3" x14ac:dyDescent="0.3">
      <c r="A17" t="s">
        <v>76</v>
      </c>
      <c r="B17" s="28">
        <v>43553</v>
      </c>
      <c r="C17" s="58">
        <v>92</v>
      </c>
    </row>
    <row r="18" spans="1:3" x14ac:dyDescent="0.3">
      <c r="A18" t="s">
        <v>76</v>
      </c>
      <c r="B18" s="28">
        <v>43567</v>
      </c>
      <c r="C18" s="58">
        <v>91</v>
      </c>
    </row>
    <row r="19" spans="1:3" x14ac:dyDescent="0.3">
      <c r="A19" t="s">
        <v>76</v>
      </c>
      <c r="B19" s="28">
        <v>43581</v>
      </c>
      <c r="C19" s="58">
        <v>88</v>
      </c>
    </row>
    <row r="20" spans="1:3" x14ac:dyDescent="0.3">
      <c r="A20" t="s">
        <v>76</v>
      </c>
      <c r="B20" s="28">
        <v>43595</v>
      </c>
      <c r="C20" s="58">
        <v>66.5</v>
      </c>
    </row>
    <row r="21" spans="1:3" x14ac:dyDescent="0.3">
      <c r="A21" t="s">
        <v>78</v>
      </c>
      <c r="C21" s="58"/>
    </row>
    <row r="22" spans="1:3" x14ac:dyDescent="0.3">
      <c r="A22" t="s">
        <v>79</v>
      </c>
      <c r="B22" s="28">
        <v>43715</v>
      </c>
      <c r="C22" s="58">
        <v>107.5</v>
      </c>
    </row>
    <row r="23" spans="1:3" x14ac:dyDescent="0.3">
      <c r="A23" t="s">
        <v>80</v>
      </c>
      <c r="B23" s="28">
        <v>43511</v>
      </c>
      <c r="C23" s="58">
        <v>99.5</v>
      </c>
    </row>
    <row r="24" spans="1:3" x14ac:dyDescent="0.3">
      <c r="A24" t="s">
        <v>80</v>
      </c>
      <c r="B24" s="28">
        <v>43525</v>
      </c>
      <c r="C24" s="58">
        <v>89.5</v>
      </c>
    </row>
    <row r="25" spans="1:3" x14ac:dyDescent="0.3">
      <c r="A25" t="s">
        <v>80</v>
      </c>
      <c r="B25" s="28">
        <v>43539</v>
      </c>
      <c r="C25" s="58">
        <v>77.5</v>
      </c>
    </row>
    <row r="26" spans="1:3" x14ac:dyDescent="0.3">
      <c r="A26" t="s">
        <v>80</v>
      </c>
      <c r="B26" s="28">
        <v>43553</v>
      </c>
      <c r="C26" s="58">
        <v>85</v>
      </c>
    </row>
    <row r="27" spans="1:3" x14ac:dyDescent="0.3">
      <c r="A27" t="s">
        <v>80</v>
      </c>
      <c r="B27" s="28">
        <v>43567</v>
      </c>
      <c r="C27" s="58">
        <v>88</v>
      </c>
    </row>
    <row r="28" spans="1:3" x14ac:dyDescent="0.3">
      <c r="A28" t="s">
        <v>80</v>
      </c>
      <c r="B28" s="28">
        <v>43581</v>
      </c>
      <c r="C28" s="58">
        <v>91</v>
      </c>
    </row>
    <row r="29" spans="1:3" x14ac:dyDescent="0.3">
      <c r="A29" t="s">
        <v>80</v>
      </c>
      <c r="B29" s="28">
        <v>43595</v>
      </c>
      <c r="C29" s="58">
        <v>94</v>
      </c>
    </row>
    <row r="30" spans="1:3" x14ac:dyDescent="0.3">
      <c r="A30" t="s">
        <v>80</v>
      </c>
      <c r="B30" s="28">
        <v>43609</v>
      </c>
      <c r="C30" s="58">
        <v>105</v>
      </c>
    </row>
    <row r="31" spans="1:3" x14ac:dyDescent="0.3">
      <c r="A31" t="s">
        <v>80</v>
      </c>
      <c r="B31" s="28">
        <v>43623</v>
      </c>
      <c r="C31" s="58">
        <v>89.5</v>
      </c>
    </row>
    <row r="32" spans="1:3" x14ac:dyDescent="0.3">
      <c r="A32" t="s">
        <v>80</v>
      </c>
      <c r="B32" s="28">
        <v>43637</v>
      </c>
      <c r="C32" s="58">
        <v>110.5</v>
      </c>
    </row>
    <row r="33" spans="1:3" x14ac:dyDescent="0.3">
      <c r="A33" t="s">
        <v>80</v>
      </c>
      <c r="B33" s="28">
        <v>43651</v>
      </c>
      <c r="C33" s="58">
        <v>85</v>
      </c>
    </row>
    <row r="34" spans="1:3" x14ac:dyDescent="0.3">
      <c r="A34" t="s">
        <v>80</v>
      </c>
      <c r="B34" s="28">
        <v>43665</v>
      </c>
      <c r="C34" s="58">
        <v>81</v>
      </c>
    </row>
    <row r="35" spans="1:3" x14ac:dyDescent="0.3">
      <c r="A35" t="s">
        <v>80</v>
      </c>
      <c r="B35" s="28">
        <v>43679</v>
      </c>
      <c r="C35" s="58">
        <v>82.5</v>
      </c>
    </row>
    <row r="36" spans="1:3" x14ac:dyDescent="0.3">
      <c r="A36" t="s">
        <v>80</v>
      </c>
      <c r="B36" s="28">
        <v>43693</v>
      </c>
      <c r="C36" s="58">
        <v>106.5</v>
      </c>
    </row>
    <row r="37" spans="1:3" x14ac:dyDescent="0.3">
      <c r="A37" t="s">
        <v>80</v>
      </c>
      <c r="B37" s="28">
        <v>43707</v>
      </c>
      <c r="C37" s="58">
        <v>104</v>
      </c>
    </row>
    <row r="38" spans="1:3" x14ac:dyDescent="0.3">
      <c r="A38" t="s">
        <v>80</v>
      </c>
      <c r="B38" s="28">
        <v>43721</v>
      </c>
      <c r="C38" s="58">
        <v>50</v>
      </c>
    </row>
    <row r="39" spans="1:3" x14ac:dyDescent="0.3">
      <c r="A39" t="s">
        <v>81</v>
      </c>
      <c r="B39" t="s">
        <v>77</v>
      </c>
      <c r="C39" s="58"/>
    </row>
    <row r="40" spans="1:3" x14ac:dyDescent="0.3">
      <c r="A40" t="s">
        <v>82</v>
      </c>
      <c r="B40" t="s">
        <v>77</v>
      </c>
      <c r="C40" s="58"/>
    </row>
    <row r="41" spans="1:3" x14ac:dyDescent="0.3">
      <c r="A41" t="s">
        <v>83</v>
      </c>
      <c r="B41" s="28">
        <v>43659</v>
      </c>
      <c r="C41" s="58">
        <v>68.5</v>
      </c>
    </row>
    <row r="42" spans="1:3" x14ac:dyDescent="0.3">
      <c r="A42" t="s">
        <v>84</v>
      </c>
      <c r="B42" t="s">
        <v>77</v>
      </c>
      <c r="C42" s="58"/>
    </row>
    <row r="43" spans="1:3" x14ac:dyDescent="0.3">
      <c r="A43" t="s">
        <v>84</v>
      </c>
      <c r="B43" s="28">
        <v>43393</v>
      </c>
      <c r="C43" s="58">
        <v>30</v>
      </c>
    </row>
    <row r="44" spans="1:3" x14ac:dyDescent="0.3">
      <c r="A44" t="s">
        <v>84</v>
      </c>
      <c r="B44" s="28">
        <v>43407</v>
      </c>
      <c r="C44" s="58">
        <v>109</v>
      </c>
    </row>
    <row r="45" spans="1:3" x14ac:dyDescent="0.3">
      <c r="A45" t="s">
        <v>84</v>
      </c>
      <c r="B45" s="28">
        <v>43421</v>
      </c>
      <c r="C45" s="58">
        <v>133</v>
      </c>
    </row>
    <row r="46" spans="1:3" x14ac:dyDescent="0.3">
      <c r="A46" t="s">
        <v>84</v>
      </c>
      <c r="B46" s="28">
        <v>43441</v>
      </c>
      <c r="C46" s="58">
        <v>82</v>
      </c>
    </row>
    <row r="47" spans="1:3" x14ac:dyDescent="0.3">
      <c r="A47" t="s">
        <v>84</v>
      </c>
      <c r="B47" s="28">
        <v>43455</v>
      </c>
      <c r="C47" s="58">
        <v>115.5</v>
      </c>
    </row>
    <row r="48" spans="1:3" x14ac:dyDescent="0.3">
      <c r="A48" t="s">
        <v>84</v>
      </c>
      <c r="B48" s="28">
        <v>43469</v>
      </c>
      <c r="C48" s="58">
        <v>93</v>
      </c>
    </row>
    <row r="49" spans="1:3" x14ac:dyDescent="0.3">
      <c r="A49" t="s">
        <v>84</v>
      </c>
      <c r="B49" s="28">
        <v>43581</v>
      </c>
      <c r="C49" s="58">
        <v>59</v>
      </c>
    </row>
    <row r="50" spans="1:3" x14ac:dyDescent="0.3">
      <c r="A50" t="s">
        <v>84</v>
      </c>
      <c r="B50" s="28">
        <v>43595</v>
      </c>
      <c r="C50" s="58">
        <v>96.5</v>
      </c>
    </row>
    <row r="51" spans="1:3" x14ac:dyDescent="0.3">
      <c r="A51" t="s">
        <v>84</v>
      </c>
      <c r="B51" s="28">
        <v>43609</v>
      </c>
      <c r="C51" s="58">
        <v>86</v>
      </c>
    </row>
    <row r="52" spans="1:3" x14ac:dyDescent="0.3">
      <c r="A52" t="s">
        <v>84</v>
      </c>
      <c r="B52" s="28">
        <v>43623</v>
      </c>
      <c r="C52" s="58">
        <v>68</v>
      </c>
    </row>
    <row r="53" spans="1:3" x14ac:dyDescent="0.3">
      <c r="A53" t="s">
        <v>84</v>
      </c>
      <c r="B53" s="28">
        <v>43637</v>
      </c>
      <c r="C53" s="58">
        <v>151</v>
      </c>
    </row>
    <row r="54" spans="1:3" x14ac:dyDescent="0.3">
      <c r="A54" t="s">
        <v>84</v>
      </c>
      <c r="B54" s="28">
        <v>43651</v>
      </c>
      <c r="C54" s="58">
        <v>118.5</v>
      </c>
    </row>
    <row r="55" spans="1:3" x14ac:dyDescent="0.3">
      <c r="A55" t="s">
        <v>84</v>
      </c>
      <c r="B55" s="28">
        <v>43665</v>
      </c>
      <c r="C55" s="58">
        <v>96</v>
      </c>
    </row>
    <row r="56" spans="1:3" x14ac:dyDescent="0.3">
      <c r="A56" t="s">
        <v>84</v>
      </c>
      <c r="B56" s="28">
        <v>43679</v>
      </c>
      <c r="C56" s="58">
        <v>124</v>
      </c>
    </row>
    <row r="57" spans="1:3" x14ac:dyDescent="0.3">
      <c r="A57" t="s">
        <v>84</v>
      </c>
      <c r="B57" s="28">
        <v>43693</v>
      </c>
      <c r="C57" s="58">
        <v>114</v>
      </c>
    </row>
    <row r="58" spans="1:3" x14ac:dyDescent="0.3">
      <c r="A58" t="s">
        <v>84</v>
      </c>
      <c r="B58" s="28">
        <v>43707</v>
      </c>
      <c r="C58" s="58">
        <v>111</v>
      </c>
    </row>
    <row r="59" spans="1:3" x14ac:dyDescent="0.3">
      <c r="A59" t="s">
        <v>84</v>
      </c>
      <c r="B59" s="28">
        <v>43721</v>
      </c>
      <c r="C59" s="58">
        <v>107.5</v>
      </c>
    </row>
    <row r="60" spans="1:3" x14ac:dyDescent="0.3">
      <c r="A60" t="s">
        <v>84</v>
      </c>
      <c r="B60" s="28">
        <v>43735</v>
      </c>
      <c r="C60" s="58">
        <v>124</v>
      </c>
    </row>
    <row r="61" spans="1:3" x14ac:dyDescent="0.3">
      <c r="A61" t="s">
        <v>84</v>
      </c>
      <c r="B61" s="28">
        <v>43749</v>
      </c>
      <c r="C61" s="58">
        <v>126</v>
      </c>
    </row>
    <row r="62" spans="1:3" x14ac:dyDescent="0.3">
      <c r="A62" t="s">
        <v>84</v>
      </c>
      <c r="B62" s="28">
        <v>43763</v>
      </c>
      <c r="C62" s="58">
        <v>93</v>
      </c>
    </row>
    <row r="63" spans="1:3" x14ac:dyDescent="0.3">
      <c r="A63" t="s">
        <v>84</v>
      </c>
      <c r="B63" s="28">
        <v>43777</v>
      </c>
      <c r="C63" s="58">
        <v>111.5</v>
      </c>
    </row>
    <row r="64" spans="1:3" x14ac:dyDescent="0.3">
      <c r="A64" t="s">
        <v>84</v>
      </c>
      <c r="B64" s="28">
        <v>43791</v>
      </c>
      <c r="C64" s="58">
        <v>80</v>
      </c>
    </row>
    <row r="65" spans="1:3" x14ac:dyDescent="0.3">
      <c r="A65" t="s">
        <v>84</v>
      </c>
      <c r="B65" s="28">
        <v>43805</v>
      </c>
      <c r="C65" s="58">
        <v>47.5</v>
      </c>
    </row>
    <row r="66" spans="1:3" x14ac:dyDescent="0.3">
      <c r="A66" t="s">
        <v>84</v>
      </c>
      <c r="B66" s="28">
        <v>43819</v>
      </c>
      <c r="C66" s="58">
        <v>106</v>
      </c>
    </row>
    <row r="67" spans="1:3" x14ac:dyDescent="0.3">
      <c r="A67" t="s">
        <v>84</v>
      </c>
      <c r="B67" s="28">
        <v>43833</v>
      </c>
      <c r="C67" s="58">
        <v>86</v>
      </c>
    </row>
    <row r="68" spans="1:3" x14ac:dyDescent="0.3">
      <c r="A68" t="s">
        <v>84</v>
      </c>
      <c r="B68" s="28">
        <v>43847</v>
      </c>
      <c r="C68" s="58">
        <v>109.5</v>
      </c>
    </row>
    <row r="69" spans="1:3" x14ac:dyDescent="0.3">
      <c r="A69" t="s">
        <v>84</v>
      </c>
      <c r="B69" s="28">
        <v>43861</v>
      </c>
      <c r="C69" s="58">
        <v>105</v>
      </c>
    </row>
    <row r="70" spans="1:3" x14ac:dyDescent="0.3">
      <c r="A70" t="s">
        <v>84</v>
      </c>
      <c r="B70" s="28">
        <v>43875</v>
      </c>
      <c r="C70" s="58">
        <v>106</v>
      </c>
    </row>
    <row r="71" spans="1:3" x14ac:dyDescent="0.3">
      <c r="A71" t="s">
        <v>84</v>
      </c>
      <c r="B71" s="28">
        <v>43889</v>
      </c>
      <c r="C71" s="58">
        <v>110</v>
      </c>
    </row>
    <row r="72" spans="1:3" x14ac:dyDescent="0.3">
      <c r="A72" t="s">
        <v>84</v>
      </c>
      <c r="B72" s="28">
        <v>43903</v>
      </c>
      <c r="C72" s="58">
        <v>105.5</v>
      </c>
    </row>
    <row r="73" spans="1:3" x14ac:dyDescent="0.3">
      <c r="A73" t="s">
        <v>84</v>
      </c>
      <c r="B73" s="28">
        <v>43917</v>
      </c>
      <c r="C73" s="58">
        <v>50</v>
      </c>
    </row>
    <row r="74" spans="1:3" x14ac:dyDescent="0.3">
      <c r="A74" t="s">
        <v>85</v>
      </c>
      <c r="B74" t="s">
        <v>77</v>
      </c>
      <c r="C74" s="58"/>
    </row>
    <row r="75" spans="1:3" x14ac:dyDescent="0.3">
      <c r="A75" t="s">
        <v>85</v>
      </c>
      <c r="B75" s="28">
        <v>43623</v>
      </c>
      <c r="C75" s="58">
        <v>40</v>
      </c>
    </row>
    <row r="76" spans="1:3" x14ac:dyDescent="0.3">
      <c r="A76" t="s">
        <v>85</v>
      </c>
      <c r="B76" s="28">
        <v>43637</v>
      </c>
      <c r="C76" s="58">
        <v>115</v>
      </c>
    </row>
    <row r="77" spans="1:3" x14ac:dyDescent="0.3">
      <c r="A77" t="s">
        <v>85</v>
      </c>
      <c r="B77" s="28">
        <v>43651</v>
      </c>
      <c r="C77" s="58">
        <v>70.5</v>
      </c>
    </row>
    <row r="78" spans="1:3" x14ac:dyDescent="0.3">
      <c r="A78" t="s">
        <v>85</v>
      </c>
      <c r="B78" s="28">
        <v>43679</v>
      </c>
      <c r="C78" s="58">
        <v>107</v>
      </c>
    </row>
    <row r="79" spans="1:3" x14ac:dyDescent="0.3">
      <c r="A79" t="s">
        <v>85</v>
      </c>
      <c r="B79" s="28">
        <v>43693</v>
      </c>
      <c r="C79" s="58">
        <v>99</v>
      </c>
    </row>
    <row r="80" spans="1:3" x14ac:dyDescent="0.3">
      <c r="A80" t="s">
        <v>85</v>
      </c>
      <c r="B80" s="28">
        <v>43701</v>
      </c>
      <c r="C80" s="58">
        <v>134</v>
      </c>
    </row>
    <row r="81" spans="1:3" x14ac:dyDescent="0.3">
      <c r="A81" t="s">
        <v>85</v>
      </c>
      <c r="B81" s="28">
        <v>43715</v>
      </c>
      <c r="C81" s="58">
        <v>93.5</v>
      </c>
    </row>
    <row r="82" spans="1:3" x14ac:dyDescent="0.3">
      <c r="A82" t="s">
        <v>85</v>
      </c>
      <c r="B82" s="28">
        <v>43729</v>
      </c>
      <c r="C82" s="58">
        <v>99.5</v>
      </c>
    </row>
    <row r="83" spans="1:3" x14ac:dyDescent="0.3">
      <c r="A83" t="s">
        <v>86</v>
      </c>
      <c r="B83" s="28">
        <v>43154</v>
      </c>
      <c r="C83" s="58">
        <v>36</v>
      </c>
    </row>
    <row r="84" spans="1:3" x14ac:dyDescent="0.3">
      <c r="A84" t="s">
        <v>86</v>
      </c>
      <c r="B84" s="28">
        <v>43169</v>
      </c>
      <c r="C84" s="58">
        <v>53</v>
      </c>
    </row>
    <row r="85" spans="1:3" x14ac:dyDescent="0.3">
      <c r="A85" t="s">
        <v>86</v>
      </c>
      <c r="B85" s="28">
        <v>43197</v>
      </c>
      <c r="C85" s="58">
        <v>106</v>
      </c>
    </row>
    <row r="86" spans="1:3" x14ac:dyDescent="0.3">
      <c r="A86" t="s">
        <v>86</v>
      </c>
      <c r="B86" s="28">
        <v>43211</v>
      </c>
      <c r="C86" s="58">
        <v>106</v>
      </c>
    </row>
    <row r="87" spans="1:3" x14ac:dyDescent="0.3">
      <c r="A87" t="s">
        <v>86</v>
      </c>
      <c r="B87" s="28">
        <v>43225</v>
      </c>
      <c r="C87" s="58">
        <v>106</v>
      </c>
    </row>
    <row r="88" spans="1:3" x14ac:dyDescent="0.3">
      <c r="A88" t="s">
        <v>86</v>
      </c>
      <c r="B88" s="28">
        <v>43239</v>
      </c>
      <c r="C88" s="58">
        <v>103</v>
      </c>
    </row>
    <row r="89" spans="1:3" x14ac:dyDescent="0.3">
      <c r="A89" t="s">
        <v>86</v>
      </c>
      <c r="B89" s="28">
        <v>43253</v>
      </c>
      <c r="C89" s="58">
        <v>92</v>
      </c>
    </row>
    <row r="90" spans="1:3" x14ac:dyDescent="0.3">
      <c r="A90" t="s">
        <v>86</v>
      </c>
      <c r="B90" s="28">
        <v>43267</v>
      </c>
      <c r="C90" s="58">
        <v>106</v>
      </c>
    </row>
    <row r="91" spans="1:3" x14ac:dyDescent="0.3">
      <c r="A91" t="s">
        <v>86</v>
      </c>
      <c r="B91" s="28">
        <v>43281</v>
      </c>
      <c r="C91" s="58">
        <v>103</v>
      </c>
    </row>
    <row r="92" spans="1:3" x14ac:dyDescent="0.3">
      <c r="A92" t="s">
        <v>86</v>
      </c>
      <c r="B92" s="28">
        <v>43295</v>
      </c>
      <c r="C92" s="58">
        <v>72</v>
      </c>
    </row>
    <row r="93" spans="1:3" x14ac:dyDescent="0.3">
      <c r="A93" t="s">
        <v>86</v>
      </c>
      <c r="B93" s="28">
        <v>43309</v>
      </c>
      <c r="C93" s="58">
        <v>87</v>
      </c>
    </row>
    <row r="94" spans="1:3" x14ac:dyDescent="0.3">
      <c r="A94" t="s">
        <v>86</v>
      </c>
      <c r="B94" s="28">
        <v>43323</v>
      </c>
      <c r="C94" s="58">
        <v>89</v>
      </c>
    </row>
    <row r="95" spans="1:3" x14ac:dyDescent="0.3">
      <c r="A95" t="s">
        <v>86</v>
      </c>
      <c r="B95" s="28">
        <v>43337</v>
      </c>
      <c r="C95" s="58">
        <v>45</v>
      </c>
    </row>
    <row r="96" spans="1:3" x14ac:dyDescent="0.3">
      <c r="A96" t="s">
        <v>86</v>
      </c>
      <c r="B96" s="28">
        <v>43351</v>
      </c>
      <c r="C96" s="58">
        <v>83</v>
      </c>
    </row>
    <row r="97" spans="1:3" x14ac:dyDescent="0.3">
      <c r="A97" t="s">
        <v>86</v>
      </c>
      <c r="B97" s="28">
        <v>43365</v>
      </c>
      <c r="C97" s="58">
        <v>112</v>
      </c>
    </row>
    <row r="98" spans="1:3" x14ac:dyDescent="0.3">
      <c r="A98" t="s">
        <v>86</v>
      </c>
      <c r="B98" s="28">
        <v>43379</v>
      </c>
      <c r="C98" s="58">
        <v>99.75</v>
      </c>
    </row>
    <row r="99" spans="1:3" x14ac:dyDescent="0.3">
      <c r="A99" t="s">
        <v>86</v>
      </c>
      <c r="B99" s="28">
        <v>43393</v>
      </c>
      <c r="C99" s="58">
        <v>117</v>
      </c>
    </row>
    <row r="100" spans="1:3" x14ac:dyDescent="0.3">
      <c r="A100" t="s">
        <v>86</v>
      </c>
      <c r="B100" s="28">
        <v>43407</v>
      </c>
      <c r="C100" s="58">
        <v>102</v>
      </c>
    </row>
    <row r="101" spans="1:3" x14ac:dyDescent="0.3">
      <c r="A101" t="s">
        <v>86</v>
      </c>
      <c r="B101" s="28">
        <v>43427</v>
      </c>
      <c r="C101" s="58">
        <v>96</v>
      </c>
    </row>
    <row r="102" spans="1:3" x14ac:dyDescent="0.3">
      <c r="A102" t="s">
        <v>86</v>
      </c>
      <c r="B102" s="28">
        <v>43441</v>
      </c>
      <c r="C102" s="58">
        <v>69</v>
      </c>
    </row>
    <row r="103" spans="1:3" x14ac:dyDescent="0.3">
      <c r="A103" t="s">
        <v>86</v>
      </c>
      <c r="B103" s="28">
        <v>43451</v>
      </c>
      <c r="C103" s="58">
        <v>96</v>
      </c>
    </row>
    <row r="104" spans="1:3" x14ac:dyDescent="0.3">
      <c r="A104" t="s">
        <v>86</v>
      </c>
      <c r="B104" s="28">
        <v>43469</v>
      </c>
      <c r="C104" s="58">
        <v>15</v>
      </c>
    </row>
    <row r="105" spans="1:3" x14ac:dyDescent="0.3">
      <c r="A105" t="s">
        <v>86</v>
      </c>
      <c r="B105" s="28">
        <v>43497</v>
      </c>
      <c r="C105" s="58">
        <v>62</v>
      </c>
    </row>
    <row r="106" spans="1:3" x14ac:dyDescent="0.3">
      <c r="A106" t="s">
        <v>86</v>
      </c>
      <c r="B106" s="28">
        <v>43511</v>
      </c>
      <c r="C106" s="58">
        <v>102.5</v>
      </c>
    </row>
    <row r="107" spans="1:3" x14ac:dyDescent="0.3">
      <c r="A107" t="s">
        <v>86</v>
      </c>
      <c r="B107" s="28">
        <v>43523</v>
      </c>
      <c r="C107" s="58">
        <v>96.5</v>
      </c>
    </row>
    <row r="108" spans="1:3" x14ac:dyDescent="0.3">
      <c r="A108" t="s">
        <v>86</v>
      </c>
      <c r="B108" s="28">
        <v>43539</v>
      </c>
      <c r="C108" s="58">
        <v>93.5</v>
      </c>
    </row>
    <row r="109" spans="1:3" x14ac:dyDescent="0.3">
      <c r="A109" t="s">
        <v>86</v>
      </c>
      <c r="B109" s="28">
        <v>43553</v>
      </c>
      <c r="C109" s="58">
        <v>91</v>
      </c>
    </row>
    <row r="110" spans="1:3" x14ac:dyDescent="0.3">
      <c r="A110" t="s">
        <v>86</v>
      </c>
      <c r="B110" s="28">
        <v>43567</v>
      </c>
      <c r="C110" s="58">
        <v>88</v>
      </c>
    </row>
    <row r="111" spans="1:3" x14ac:dyDescent="0.3">
      <c r="A111" t="s">
        <v>86</v>
      </c>
      <c r="B111" s="28">
        <v>43581</v>
      </c>
      <c r="C111" s="58">
        <v>88</v>
      </c>
    </row>
    <row r="112" spans="1:3" x14ac:dyDescent="0.3">
      <c r="A112" t="s">
        <v>86</v>
      </c>
      <c r="B112" s="28">
        <v>43595</v>
      </c>
      <c r="C112" s="58">
        <v>88</v>
      </c>
    </row>
    <row r="113" spans="1:3" x14ac:dyDescent="0.3">
      <c r="A113" t="s">
        <v>86</v>
      </c>
      <c r="B113" s="28">
        <v>43609</v>
      </c>
      <c r="C113" s="58">
        <v>52</v>
      </c>
    </row>
    <row r="114" spans="1:3" x14ac:dyDescent="0.3">
      <c r="A114" t="s">
        <v>86</v>
      </c>
      <c r="B114" s="28">
        <v>43623</v>
      </c>
      <c r="C114" s="58">
        <v>89.5</v>
      </c>
    </row>
    <row r="115" spans="1:3" x14ac:dyDescent="0.3">
      <c r="A115" t="s">
        <v>86</v>
      </c>
      <c r="B115" s="28">
        <v>43637</v>
      </c>
      <c r="C115" s="58">
        <v>112.5</v>
      </c>
    </row>
    <row r="116" spans="1:3" x14ac:dyDescent="0.3">
      <c r="A116" t="s">
        <v>86</v>
      </c>
      <c r="B116" s="28">
        <v>43651</v>
      </c>
      <c r="C116" s="58">
        <v>80</v>
      </c>
    </row>
    <row r="117" spans="1:3" x14ac:dyDescent="0.3">
      <c r="A117" t="s">
        <v>86</v>
      </c>
      <c r="B117" s="28">
        <v>43665</v>
      </c>
      <c r="C117" s="58">
        <v>41</v>
      </c>
    </row>
    <row r="118" spans="1:3" x14ac:dyDescent="0.3">
      <c r="A118" t="s">
        <v>86</v>
      </c>
      <c r="B118" s="28">
        <v>43679</v>
      </c>
      <c r="C118" s="58">
        <v>95.5</v>
      </c>
    </row>
    <row r="119" spans="1:3" x14ac:dyDescent="0.3">
      <c r="A119" t="s">
        <v>86</v>
      </c>
      <c r="B119" s="28">
        <v>43693</v>
      </c>
      <c r="C119" s="58">
        <v>106.5</v>
      </c>
    </row>
    <row r="120" spans="1:3" x14ac:dyDescent="0.3">
      <c r="A120" t="s">
        <v>86</v>
      </c>
      <c r="B120" s="28">
        <v>43707</v>
      </c>
      <c r="C120" s="58">
        <v>104</v>
      </c>
    </row>
    <row r="121" spans="1:3" x14ac:dyDescent="0.3">
      <c r="A121" t="s">
        <v>86</v>
      </c>
      <c r="B121" s="28">
        <v>43721</v>
      </c>
      <c r="C121" s="58">
        <v>89</v>
      </c>
    </row>
    <row r="122" spans="1:3" x14ac:dyDescent="0.3">
      <c r="A122" t="s">
        <v>86</v>
      </c>
      <c r="B122" s="28">
        <v>43735</v>
      </c>
      <c r="C122" s="58">
        <v>67</v>
      </c>
    </row>
    <row r="123" spans="1:3" x14ac:dyDescent="0.3">
      <c r="A123" t="s">
        <v>86</v>
      </c>
      <c r="B123" s="28">
        <v>43749</v>
      </c>
      <c r="C123" s="58">
        <v>112.5</v>
      </c>
    </row>
    <row r="124" spans="1:3" x14ac:dyDescent="0.3">
      <c r="A124" t="s">
        <v>86</v>
      </c>
      <c r="B124" s="28">
        <v>43763</v>
      </c>
      <c r="C124" s="58">
        <v>86.5</v>
      </c>
    </row>
    <row r="125" spans="1:3" x14ac:dyDescent="0.3">
      <c r="A125" t="s">
        <v>86</v>
      </c>
      <c r="B125" s="28">
        <v>43777</v>
      </c>
      <c r="C125" s="58">
        <v>101.5</v>
      </c>
    </row>
    <row r="126" spans="1:3" x14ac:dyDescent="0.3">
      <c r="A126" t="s">
        <v>86</v>
      </c>
      <c r="B126" s="28">
        <v>43791</v>
      </c>
      <c r="C126" s="58">
        <v>100.5</v>
      </c>
    </row>
    <row r="127" spans="1:3" x14ac:dyDescent="0.3">
      <c r="A127" t="s">
        <v>86</v>
      </c>
      <c r="B127" s="28">
        <v>43805</v>
      </c>
      <c r="C127" s="58">
        <v>77</v>
      </c>
    </row>
    <row r="128" spans="1:3" x14ac:dyDescent="0.3">
      <c r="A128" t="s">
        <v>86</v>
      </c>
      <c r="B128" s="28">
        <v>43816</v>
      </c>
      <c r="C128" s="58">
        <v>98.5</v>
      </c>
    </row>
    <row r="129" spans="1:3" x14ac:dyDescent="0.3">
      <c r="A129" t="s">
        <v>86</v>
      </c>
      <c r="B129" s="28">
        <v>43833</v>
      </c>
      <c r="C129" s="58">
        <v>36</v>
      </c>
    </row>
    <row r="130" spans="1:3" x14ac:dyDescent="0.3">
      <c r="A130" t="s">
        <v>86</v>
      </c>
      <c r="B130" s="28">
        <v>43861</v>
      </c>
      <c r="C130" s="58">
        <v>101</v>
      </c>
    </row>
    <row r="131" spans="1:3" x14ac:dyDescent="0.3">
      <c r="A131" t="s">
        <v>86</v>
      </c>
      <c r="B131" s="28">
        <v>43875</v>
      </c>
      <c r="C131" s="58">
        <v>73</v>
      </c>
    </row>
    <row r="132" spans="1:3" x14ac:dyDescent="0.3">
      <c r="A132" t="s">
        <v>86</v>
      </c>
      <c r="B132" s="28">
        <v>43889</v>
      </c>
      <c r="C132" s="58">
        <v>109</v>
      </c>
    </row>
    <row r="133" spans="1:3" x14ac:dyDescent="0.3">
      <c r="A133" t="s">
        <v>86</v>
      </c>
      <c r="B133" s="28">
        <v>43903</v>
      </c>
      <c r="C133" s="58">
        <v>101.5</v>
      </c>
    </row>
    <row r="134" spans="1:3" x14ac:dyDescent="0.3">
      <c r="A134" t="s">
        <v>86</v>
      </c>
      <c r="B134" s="28">
        <v>43917</v>
      </c>
      <c r="C134" s="58">
        <v>71</v>
      </c>
    </row>
    <row r="135" spans="1:3" x14ac:dyDescent="0.3">
      <c r="A135" t="s">
        <v>87</v>
      </c>
      <c r="B135" s="28">
        <v>43379</v>
      </c>
      <c r="C135" s="58">
        <v>99.75</v>
      </c>
    </row>
    <row r="136" spans="1:3" x14ac:dyDescent="0.3">
      <c r="A136" t="s">
        <v>87</v>
      </c>
      <c r="B136" s="28">
        <v>43393</v>
      </c>
      <c r="C136" s="58">
        <v>116</v>
      </c>
    </row>
    <row r="137" spans="1:3" x14ac:dyDescent="0.3">
      <c r="A137" t="s">
        <v>87</v>
      </c>
      <c r="B137" s="28">
        <v>43407</v>
      </c>
      <c r="C137" s="58">
        <v>103</v>
      </c>
    </row>
    <row r="138" spans="1:3" x14ac:dyDescent="0.3">
      <c r="A138" t="s">
        <v>87</v>
      </c>
      <c r="B138" s="28">
        <v>43427</v>
      </c>
      <c r="C138" s="58">
        <v>96</v>
      </c>
    </row>
    <row r="139" spans="1:3" x14ac:dyDescent="0.3">
      <c r="A139" t="s">
        <v>87</v>
      </c>
      <c r="B139" s="28">
        <v>43441</v>
      </c>
      <c r="C139" s="58">
        <v>69</v>
      </c>
    </row>
    <row r="140" spans="1:3" x14ac:dyDescent="0.3">
      <c r="A140" t="s">
        <v>87</v>
      </c>
      <c r="B140" s="28">
        <v>43455</v>
      </c>
      <c r="C140" s="58">
        <v>67</v>
      </c>
    </row>
    <row r="141" spans="1:3" x14ac:dyDescent="0.3">
      <c r="A141" t="s">
        <v>87</v>
      </c>
      <c r="B141" s="28">
        <v>43469</v>
      </c>
      <c r="C141" s="58">
        <v>5</v>
      </c>
    </row>
    <row r="142" spans="1:3" x14ac:dyDescent="0.3">
      <c r="A142" t="s">
        <v>88</v>
      </c>
      <c r="B142" t="s">
        <v>77</v>
      </c>
      <c r="C142" s="58"/>
    </row>
    <row r="143" spans="1:3" x14ac:dyDescent="0.3">
      <c r="A143" t="s">
        <v>89</v>
      </c>
      <c r="B143" t="s">
        <v>77</v>
      </c>
      <c r="C143" s="58"/>
    </row>
    <row r="144" spans="1:3" x14ac:dyDescent="0.3">
      <c r="A144" t="s">
        <v>89</v>
      </c>
      <c r="B144" s="28">
        <v>43875</v>
      </c>
      <c r="C144" s="58">
        <v>70.5</v>
      </c>
    </row>
    <row r="145" spans="1:3" x14ac:dyDescent="0.3">
      <c r="A145" t="s">
        <v>90</v>
      </c>
      <c r="B145" s="28">
        <v>43721</v>
      </c>
      <c r="C145" s="58">
        <v>74.5</v>
      </c>
    </row>
    <row r="146" spans="1:3" x14ac:dyDescent="0.3">
      <c r="A146" t="s">
        <v>90</v>
      </c>
      <c r="B146" s="28">
        <v>43735</v>
      </c>
      <c r="C146" s="58">
        <v>109</v>
      </c>
    </row>
    <row r="147" spans="1:3" x14ac:dyDescent="0.3">
      <c r="A147" t="s">
        <v>90</v>
      </c>
      <c r="B147" s="28">
        <v>43749</v>
      </c>
      <c r="C147" s="58">
        <v>112.5</v>
      </c>
    </row>
    <row r="148" spans="1:3" x14ac:dyDescent="0.3">
      <c r="A148" t="s">
        <v>90</v>
      </c>
      <c r="B148" s="28">
        <v>43763</v>
      </c>
      <c r="C148" s="58">
        <v>95</v>
      </c>
    </row>
    <row r="149" spans="1:3" x14ac:dyDescent="0.3">
      <c r="A149" t="s">
        <v>90</v>
      </c>
      <c r="B149" s="28">
        <v>43777</v>
      </c>
      <c r="C149" s="58">
        <v>105</v>
      </c>
    </row>
    <row r="150" spans="1:3" x14ac:dyDescent="0.3">
      <c r="A150" t="s">
        <v>90</v>
      </c>
      <c r="B150" s="28">
        <v>43791</v>
      </c>
      <c r="C150" s="58">
        <v>100.5</v>
      </c>
    </row>
    <row r="151" spans="1:3" x14ac:dyDescent="0.3">
      <c r="A151" t="s">
        <v>90</v>
      </c>
      <c r="B151" s="28">
        <v>43805</v>
      </c>
      <c r="C151" s="58">
        <v>76.5</v>
      </c>
    </row>
    <row r="152" spans="1:3" x14ac:dyDescent="0.3">
      <c r="A152" t="s">
        <v>90</v>
      </c>
      <c r="B152" s="28">
        <v>43819</v>
      </c>
      <c r="C152" s="58">
        <v>98.5</v>
      </c>
    </row>
    <row r="153" spans="1:3" x14ac:dyDescent="0.3">
      <c r="A153" t="s">
        <v>91</v>
      </c>
      <c r="B153" t="s">
        <v>77</v>
      </c>
      <c r="C153" s="58"/>
    </row>
    <row r="154" spans="1:3" x14ac:dyDescent="0.3">
      <c r="A154" t="s">
        <v>92</v>
      </c>
      <c r="B154" s="28">
        <v>43771</v>
      </c>
      <c r="C154" s="58">
        <v>58</v>
      </c>
    </row>
    <row r="155" spans="1:3" x14ac:dyDescent="0.3">
      <c r="A155" t="s">
        <v>93</v>
      </c>
      <c r="B155" s="28">
        <v>43617</v>
      </c>
      <c r="C155" s="58">
        <v>51</v>
      </c>
    </row>
    <row r="156" spans="1:3" x14ac:dyDescent="0.3">
      <c r="A156" t="s">
        <v>93</v>
      </c>
      <c r="B156" s="28">
        <v>43632</v>
      </c>
      <c r="C156" s="58">
        <v>133.5</v>
      </c>
    </row>
    <row r="157" spans="1:3" x14ac:dyDescent="0.3">
      <c r="A157" t="s">
        <v>93</v>
      </c>
      <c r="B157" s="28">
        <v>43645</v>
      </c>
      <c r="C157" s="58">
        <v>74</v>
      </c>
    </row>
    <row r="158" spans="1:3" x14ac:dyDescent="0.3">
      <c r="A158" t="s">
        <v>93</v>
      </c>
      <c r="B158" s="28">
        <v>43659</v>
      </c>
      <c r="C158" s="58">
        <v>64.5</v>
      </c>
    </row>
    <row r="159" spans="1:3" x14ac:dyDescent="0.3">
      <c r="A159" t="s">
        <v>93</v>
      </c>
      <c r="B159" s="28">
        <v>43674</v>
      </c>
      <c r="C159" s="58">
        <v>107</v>
      </c>
    </row>
    <row r="160" spans="1:3" x14ac:dyDescent="0.3">
      <c r="A160" t="s">
        <v>93</v>
      </c>
      <c r="B160" s="28">
        <v>43688</v>
      </c>
      <c r="C160" s="58">
        <v>101.5</v>
      </c>
    </row>
    <row r="161" spans="1:3" x14ac:dyDescent="0.3">
      <c r="A161" t="s">
        <v>93</v>
      </c>
      <c r="B161" s="28">
        <v>43701</v>
      </c>
      <c r="C161" s="58">
        <v>134</v>
      </c>
    </row>
    <row r="162" spans="1:3" x14ac:dyDescent="0.3">
      <c r="A162" t="s">
        <v>93</v>
      </c>
      <c r="B162" s="28">
        <v>43715</v>
      </c>
      <c r="C162" s="58">
        <v>93.5</v>
      </c>
    </row>
    <row r="163" spans="1:3" x14ac:dyDescent="0.3">
      <c r="A163" t="s">
        <v>93</v>
      </c>
      <c r="B163" s="28">
        <v>43729</v>
      </c>
      <c r="C163" s="58">
        <v>118</v>
      </c>
    </row>
    <row r="164" spans="1:3" x14ac:dyDescent="0.3">
      <c r="A164" t="s">
        <v>93</v>
      </c>
      <c r="B164" s="28">
        <v>43756</v>
      </c>
      <c r="C164" s="58">
        <v>95</v>
      </c>
    </row>
    <row r="165" spans="1:3" x14ac:dyDescent="0.3">
      <c r="A165" t="s">
        <v>93</v>
      </c>
      <c r="B165" s="28">
        <v>43771</v>
      </c>
      <c r="C165" s="58">
        <v>120</v>
      </c>
    </row>
    <row r="166" spans="1:3" x14ac:dyDescent="0.3">
      <c r="A166" t="s">
        <v>46</v>
      </c>
      <c r="B166" t="s">
        <v>77</v>
      </c>
      <c r="C166" s="58">
        <v>107.5</v>
      </c>
    </row>
    <row r="167" spans="1:3" x14ac:dyDescent="0.3">
      <c r="A167" t="s">
        <v>46</v>
      </c>
      <c r="B167" s="28">
        <v>43915</v>
      </c>
      <c r="C167" s="58">
        <v>13.5</v>
      </c>
    </row>
    <row r="168" spans="1:3" x14ac:dyDescent="0.3">
      <c r="A168" t="s">
        <v>46</v>
      </c>
      <c r="B168" s="28">
        <v>43917</v>
      </c>
      <c r="C168" s="58">
        <v>81.5</v>
      </c>
    </row>
    <row r="169" spans="1:3" x14ac:dyDescent="0.3">
      <c r="A169" t="s">
        <v>46</v>
      </c>
      <c r="B169" s="28">
        <v>43931</v>
      </c>
      <c r="C169" s="58">
        <v>16</v>
      </c>
    </row>
    <row r="170" spans="1:3" x14ac:dyDescent="0.3">
      <c r="A170" t="s">
        <v>46</v>
      </c>
      <c r="B170" s="28">
        <v>43973</v>
      </c>
      <c r="C170" s="58">
        <v>55</v>
      </c>
    </row>
    <row r="171" spans="1:3" x14ac:dyDescent="0.3">
      <c r="A171" t="s">
        <v>46</v>
      </c>
      <c r="B171" s="28">
        <v>43987</v>
      </c>
      <c r="C171" s="58">
        <v>110.5</v>
      </c>
    </row>
    <row r="172" spans="1:3" x14ac:dyDescent="0.3">
      <c r="A172" t="s">
        <v>46</v>
      </c>
      <c r="B172" s="28">
        <v>43995</v>
      </c>
      <c r="C172" s="58">
        <v>67</v>
      </c>
    </row>
    <row r="173" spans="1:3" x14ac:dyDescent="0.3">
      <c r="A173" t="s">
        <v>46</v>
      </c>
      <c r="B173" s="28">
        <v>44009</v>
      </c>
      <c r="C173" s="58">
        <v>94.5</v>
      </c>
    </row>
    <row r="174" spans="1:3" x14ac:dyDescent="0.3">
      <c r="A174" t="s">
        <v>46</v>
      </c>
      <c r="B174" s="28">
        <v>44023</v>
      </c>
      <c r="C174" s="58">
        <v>77</v>
      </c>
    </row>
    <row r="175" spans="1:3" x14ac:dyDescent="0.3">
      <c r="A175" t="s">
        <v>48</v>
      </c>
      <c r="B175" t="s">
        <v>77</v>
      </c>
      <c r="C175" s="58"/>
    </row>
    <row r="176" spans="1:3" x14ac:dyDescent="0.3">
      <c r="A176" t="s">
        <v>48</v>
      </c>
      <c r="B176" s="28">
        <v>43819</v>
      </c>
      <c r="C176" s="58">
        <v>90.5</v>
      </c>
    </row>
    <row r="177" spans="1:3" x14ac:dyDescent="0.3">
      <c r="A177" t="s">
        <v>48</v>
      </c>
      <c r="B177" s="28">
        <v>43833</v>
      </c>
      <c r="C177" s="58">
        <v>87</v>
      </c>
    </row>
    <row r="178" spans="1:3" x14ac:dyDescent="0.3">
      <c r="A178" t="s">
        <v>48</v>
      </c>
      <c r="B178" s="28">
        <v>43847</v>
      </c>
      <c r="C178" s="58">
        <v>83.5</v>
      </c>
    </row>
    <row r="179" spans="1:3" x14ac:dyDescent="0.3">
      <c r="A179" t="s">
        <v>48</v>
      </c>
      <c r="B179" s="28">
        <v>43861</v>
      </c>
      <c r="C179" s="58">
        <v>91.5</v>
      </c>
    </row>
    <row r="180" spans="1:3" x14ac:dyDescent="0.3">
      <c r="A180" t="s">
        <v>48</v>
      </c>
      <c r="B180" s="28">
        <v>43875</v>
      </c>
      <c r="C180" s="58">
        <v>95</v>
      </c>
    </row>
    <row r="181" spans="1:3" x14ac:dyDescent="0.3">
      <c r="A181" t="s">
        <v>48</v>
      </c>
      <c r="B181" s="28">
        <v>43889</v>
      </c>
      <c r="C181" s="58">
        <v>101</v>
      </c>
    </row>
    <row r="182" spans="1:3" x14ac:dyDescent="0.3">
      <c r="A182" t="s">
        <v>48</v>
      </c>
      <c r="B182" s="28">
        <v>43903</v>
      </c>
      <c r="C182" s="58">
        <v>94.5</v>
      </c>
    </row>
    <row r="183" spans="1:3" x14ac:dyDescent="0.3">
      <c r="A183" t="s">
        <v>48</v>
      </c>
      <c r="B183" s="28">
        <v>43917</v>
      </c>
      <c r="C183" s="58">
        <v>84</v>
      </c>
    </row>
    <row r="184" spans="1:3" x14ac:dyDescent="0.3">
      <c r="A184" t="s">
        <v>48</v>
      </c>
      <c r="B184" s="28">
        <v>43931</v>
      </c>
      <c r="C184" s="58">
        <v>24</v>
      </c>
    </row>
    <row r="185" spans="1:3" x14ac:dyDescent="0.3">
      <c r="A185" t="s">
        <v>48</v>
      </c>
      <c r="B185" s="28">
        <v>43973</v>
      </c>
      <c r="C185" s="58">
        <v>40</v>
      </c>
    </row>
    <row r="186" spans="1:3" x14ac:dyDescent="0.3">
      <c r="A186" t="s">
        <v>48</v>
      </c>
      <c r="B186" s="28">
        <v>43987</v>
      </c>
      <c r="C186" s="58">
        <v>72.5</v>
      </c>
    </row>
    <row r="187" spans="1:3" x14ac:dyDescent="0.3">
      <c r="A187" t="s">
        <v>48</v>
      </c>
      <c r="B187" s="28">
        <v>43995</v>
      </c>
      <c r="C187" s="58">
        <v>80</v>
      </c>
    </row>
    <row r="188" spans="1:3" x14ac:dyDescent="0.3">
      <c r="A188" t="s">
        <v>48</v>
      </c>
      <c r="B188" s="28">
        <v>44009</v>
      </c>
      <c r="C188" s="58">
        <v>94.5</v>
      </c>
    </row>
    <row r="189" spans="1:3" x14ac:dyDescent="0.3">
      <c r="A189" t="s">
        <v>48</v>
      </c>
      <c r="B189" s="28">
        <v>44023</v>
      </c>
      <c r="C189" s="58">
        <v>106.5</v>
      </c>
    </row>
    <row r="190" spans="1:3" x14ac:dyDescent="0.3">
      <c r="A190" t="s">
        <v>94</v>
      </c>
      <c r="B190" t="s">
        <v>77</v>
      </c>
      <c r="C190" s="58"/>
    </row>
    <row r="191" spans="1:3" x14ac:dyDescent="0.3">
      <c r="A191" t="s">
        <v>94</v>
      </c>
      <c r="B191" s="28">
        <v>43637</v>
      </c>
      <c r="C191" s="58">
        <v>74</v>
      </c>
    </row>
    <row r="192" spans="1:3" x14ac:dyDescent="0.3">
      <c r="A192" t="s">
        <v>94</v>
      </c>
      <c r="B192" s="28">
        <v>43651</v>
      </c>
      <c r="C192" s="58">
        <v>106.5</v>
      </c>
    </row>
    <row r="193" spans="1:3" x14ac:dyDescent="0.3">
      <c r="A193" t="s">
        <v>94</v>
      </c>
      <c r="B193" s="28">
        <v>43665</v>
      </c>
      <c r="C193" s="58">
        <v>91</v>
      </c>
    </row>
    <row r="194" spans="1:3" x14ac:dyDescent="0.3">
      <c r="A194" t="s">
        <v>94</v>
      </c>
      <c r="B194" s="28">
        <v>43679</v>
      </c>
      <c r="C194" s="58">
        <v>123</v>
      </c>
    </row>
    <row r="195" spans="1:3" x14ac:dyDescent="0.3">
      <c r="A195" t="s">
        <v>94</v>
      </c>
      <c r="B195" s="28">
        <v>43693</v>
      </c>
      <c r="C195" s="58">
        <v>123</v>
      </c>
    </row>
    <row r="196" spans="1:3" x14ac:dyDescent="0.3">
      <c r="A196" t="s">
        <v>94</v>
      </c>
      <c r="B196" s="28">
        <v>43707</v>
      </c>
      <c r="C196" s="58">
        <v>149</v>
      </c>
    </row>
    <row r="197" spans="1:3" x14ac:dyDescent="0.3">
      <c r="A197" t="s">
        <v>94</v>
      </c>
      <c r="B197" s="28">
        <v>43721</v>
      </c>
      <c r="C197" s="58">
        <v>107.5</v>
      </c>
    </row>
    <row r="198" spans="1:3" x14ac:dyDescent="0.3">
      <c r="A198" t="s">
        <v>94</v>
      </c>
      <c r="B198" s="28">
        <v>43735</v>
      </c>
      <c r="C198" s="58">
        <v>153</v>
      </c>
    </row>
    <row r="199" spans="1:3" x14ac:dyDescent="0.3">
      <c r="A199" t="s">
        <v>94</v>
      </c>
      <c r="B199" s="28">
        <v>43749</v>
      </c>
      <c r="C199" s="58">
        <v>159.5</v>
      </c>
    </row>
    <row r="200" spans="1:3" x14ac:dyDescent="0.3">
      <c r="A200" t="s">
        <v>94</v>
      </c>
      <c r="B200" s="28">
        <v>43763</v>
      </c>
      <c r="C200" s="58">
        <v>110.5</v>
      </c>
    </row>
    <row r="201" spans="1:3" x14ac:dyDescent="0.3">
      <c r="A201" t="s">
        <v>94</v>
      </c>
      <c r="B201" s="28">
        <v>43777</v>
      </c>
      <c r="C201" s="58">
        <v>136.5</v>
      </c>
    </row>
    <row r="202" spans="1:3" x14ac:dyDescent="0.3">
      <c r="A202" t="s">
        <v>94</v>
      </c>
      <c r="B202" s="28">
        <v>43791</v>
      </c>
      <c r="C202" s="58">
        <v>140.5</v>
      </c>
    </row>
    <row r="203" spans="1:3" x14ac:dyDescent="0.3">
      <c r="A203" t="s">
        <v>94</v>
      </c>
      <c r="B203" s="28">
        <v>43805</v>
      </c>
      <c r="C203" s="58">
        <v>106</v>
      </c>
    </row>
    <row r="204" spans="1:3" x14ac:dyDescent="0.3">
      <c r="A204" t="s">
        <v>94</v>
      </c>
      <c r="B204" s="28">
        <v>43819</v>
      </c>
      <c r="C204" s="58">
        <v>118.5</v>
      </c>
    </row>
    <row r="205" spans="1:3" x14ac:dyDescent="0.3">
      <c r="A205" t="s">
        <v>94</v>
      </c>
      <c r="B205" s="28">
        <v>43833</v>
      </c>
      <c r="C205" s="58">
        <v>112.5</v>
      </c>
    </row>
    <row r="206" spans="1:3" x14ac:dyDescent="0.3">
      <c r="A206" t="s">
        <v>94</v>
      </c>
      <c r="B206" s="28">
        <v>43847</v>
      </c>
      <c r="C206" s="58">
        <v>114.5</v>
      </c>
    </row>
    <row r="207" spans="1:3" x14ac:dyDescent="0.3">
      <c r="A207" t="s">
        <v>94</v>
      </c>
      <c r="B207" s="28">
        <v>43861</v>
      </c>
      <c r="C207" s="58">
        <v>140.5</v>
      </c>
    </row>
    <row r="208" spans="1:3" x14ac:dyDescent="0.3">
      <c r="A208" t="s">
        <v>94</v>
      </c>
      <c r="B208" s="28">
        <v>43875</v>
      </c>
      <c r="C208" s="58">
        <v>139</v>
      </c>
    </row>
    <row r="209" spans="1:3" x14ac:dyDescent="0.3">
      <c r="A209" t="s">
        <v>94</v>
      </c>
      <c r="B209" s="28">
        <v>43889</v>
      </c>
      <c r="C209" s="58">
        <v>144</v>
      </c>
    </row>
    <row r="210" spans="1:3" x14ac:dyDescent="0.3">
      <c r="A210" t="s">
        <v>94</v>
      </c>
      <c r="B210" s="28">
        <v>43903</v>
      </c>
      <c r="C210" s="58">
        <v>104.5</v>
      </c>
    </row>
    <row r="211" spans="1:3" x14ac:dyDescent="0.3">
      <c r="A211" t="s">
        <v>94</v>
      </c>
      <c r="B211" s="28">
        <v>43917</v>
      </c>
      <c r="C211" s="58">
        <v>87</v>
      </c>
    </row>
    <row r="212" spans="1:3" x14ac:dyDescent="0.3">
      <c r="A212" t="s">
        <v>94</v>
      </c>
      <c r="B212" s="28">
        <v>43931</v>
      </c>
      <c r="C212" s="58">
        <v>28.5</v>
      </c>
    </row>
    <row r="213" spans="1:3" x14ac:dyDescent="0.3">
      <c r="A213" t="s">
        <v>94</v>
      </c>
      <c r="B213" s="28">
        <v>43973</v>
      </c>
      <c r="C213" s="58">
        <v>84</v>
      </c>
    </row>
    <row r="214" spans="1:3" x14ac:dyDescent="0.3">
      <c r="A214" t="s">
        <v>94</v>
      </c>
      <c r="B214" s="28">
        <v>43987</v>
      </c>
      <c r="C214" s="58">
        <v>86.5</v>
      </c>
    </row>
    <row r="215" spans="1:3" x14ac:dyDescent="0.3">
      <c r="A215" t="s">
        <v>94</v>
      </c>
      <c r="B215" s="28">
        <v>43995</v>
      </c>
      <c r="C215" s="58">
        <v>107</v>
      </c>
    </row>
    <row r="216" spans="1:3" x14ac:dyDescent="0.3">
      <c r="A216" t="s">
        <v>94</v>
      </c>
      <c r="B216" s="28">
        <v>44009</v>
      </c>
      <c r="C216" s="58">
        <v>109.5</v>
      </c>
    </row>
    <row r="217" spans="1:3" x14ac:dyDescent="0.3">
      <c r="A217" t="s">
        <v>94</v>
      </c>
      <c r="B217" s="28">
        <v>44023</v>
      </c>
      <c r="C217" s="58">
        <v>106</v>
      </c>
    </row>
    <row r="218" spans="1:3" x14ac:dyDescent="0.3">
      <c r="A218" t="s">
        <v>95</v>
      </c>
      <c r="B218" t="s">
        <v>77</v>
      </c>
      <c r="C218" s="58"/>
    </row>
    <row r="219" spans="1:3" x14ac:dyDescent="0.3">
      <c r="A219" t="s">
        <v>95</v>
      </c>
      <c r="B219" s="28">
        <v>43441</v>
      </c>
      <c r="C219" s="58">
        <v>40</v>
      </c>
    </row>
    <row r="220" spans="1:3" x14ac:dyDescent="0.3">
      <c r="A220" t="s">
        <v>95</v>
      </c>
      <c r="B220" s="28">
        <v>43455</v>
      </c>
      <c r="C220" s="58">
        <v>96</v>
      </c>
    </row>
    <row r="221" spans="1:3" x14ac:dyDescent="0.3">
      <c r="A221" t="s">
        <v>95</v>
      </c>
      <c r="B221" s="28">
        <v>43469</v>
      </c>
      <c r="C221" s="58">
        <v>83.5</v>
      </c>
    </row>
    <row r="222" spans="1:3" x14ac:dyDescent="0.3">
      <c r="A222" t="s">
        <v>95</v>
      </c>
      <c r="B222" s="28">
        <v>43497</v>
      </c>
      <c r="C222" s="58">
        <v>111</v>
      </c>
    </row>
    <row r="223" spans="1:3" x14ac:dyDescent="0.3">
      <c r="A223" t="s">
        <v>95</v>
      </c>
      <c r="B223" s="28">
        <v>43511</v>
      </c>
      <c r="C223" s="58">
        <v>100</v>
      </c>
    </row>
    <row r="224" spans="1:3" x14ac:dyDescent="0.3">
      <c r="A224" t="s">
        <v>95</v>
      </c>
      <c r="B224" s="28">
        <v>43525</v>
      </c>
      <c r="C224" s="58">
        <v>90</v>
      </c>
    </row>
    <row r="225" spans="1:3" x14ac:dyDescent="0.3">
      <c r="A225" t="s">
        <v>95</v>
      </c>
      <c r="B225" s="28">
        <v>43539</v>
      </c>
      <c r="C225" s="58">
        <v>93.5</v>
      </c>
    </row>
    <row r="226" spans="1:3" x14ac:dyDescent="0.3">
      <c r="A226" t="s">
        <v>95</v>
      </c>
      <c r="B226" s="28">
        <v>43553</v>
      </c>
      <c r="C226" s="58">
        <v>91</v>
      </c>
    </row>
    <row r="227" spans="1:3" x14ac:dyDescent="0.3">
      <c r="A227" t="s">
        <v>95</v>
      </c>
      <c r="B227" s="28">
        <v>43567</v>
      </c>
      <c r="C227" s="58">
        <v>88</v>
      </c>
    </row>
    <row r="228" spans="1:3" x14ac:dyDescent="0.3">
      <c r="A228" t="s">
        <v>95</v>
      </c>
      <c r="B228" s="28">
        <v>43581</v>
      </c>
      <c r="C228" s="58">
        <v>88</v>
      </c>
    </row>
    <row r="229" spans="1:3" x14ac:dyDescent="0.3">
      <c r="A229" t="s">
        <v>95</v>
      </c>
      <c r="B229" s="28">
        <v>43595</v>
      </c>
      <c r="C229" s="58">
        <v>92</v>
      </c>
    </row>
    <row r="230" spans="1:3" x14ac:dyDescent="0.3">
      <c r="A230" t="s">
        <v>95</v>
      </c>
      <c r="B230" s="28">
        <v>43609</v>
      </c>
      <c r="C230" s="58">
        <v>108</v>
      </c>
    </row>
    <row r="231" spans="1:3" x14ac:dyDescent="0.3">
      <c r="A231" t="s">
        <v>95</v>
      </c>
      <c r="B231" s="28">
        <v>43623</v>
      </c>
      <c r="C231" s="58">
        <v>89.5</v>
      </c>
    </row>
    <row r="232" spans="1:3" x14ac:dyDescent="0.3">
      <c r="A232" t="s">
        <v>95</v>
      </c>
      <c r="B232" s="28">
        <v>43637</v>
      </c>
      <c r="C232" s="58">
        <v>111.5</v>
      </c>
    </row>
    <row r="233" spans="1:3" x14ac:dyDescent="0.3">
      <c r="A233" t="s">
        <v>95</v>
      </c>
      <c r="B233" s="28">
        <v>43651</v>
      </c>
      <c r="C233" s="58">
        <v>87</v>
      </c>
    </row>
    <row r="234" spans="1:3" x14ac:dyDescent="0.3">
      <c r="A234" t="s">
        <v>95</v>
      </c>
      <c r="B234" s="28">
        <v>43665</v>
      </c>
      <c r="C234" s="58">
        <v>81</v>
      </c>
    </row>
    <row r="235" spans="1:3" x14ac:dyDescent="0.3">
      <c r="A235" t="s">
        <v>95</v>
      </c>
      <c r="B235" s="28">
        <v>43679</v>
      </c>
      <c r="C235" s="58">
        <v>95</v>
      </c>
    </row>
    <row r="236" spans="1:3" x14ac:dyDescent="0.3">
      <c r="A236" t="s">
        <v>95</v>
      </c>
      <c r="B236" s="28">
        <v>43693</v>
      </c>
      <c r="C236" s="58">
        <v>101</v>
      </c>
    </row>
    <row r="237" spans="1:3" x14ac:dyDescent="0.3">
      <c r="A237" t="s">
        <v>95</v>
      </c>
      <c r="B237" s="28">
        <v>43707</v>
      </c>
      <c r="C237" s="58">
        <v>97.5</v>
      </c>
    </row>
    <row r="238" spans="1:3" x14ac:dyDescent="0.3">
      <c r="A238" t="s">
        <v>95</v>
      </c>
      <c r="B238" s="28">
        <v>43721</v>
      </c>
      <c r="C238" s="58">
        <v>94.5</v>
      </c>
    </row>
    <row r="239" spans="1:3" x14ac:dyDescent="0.3">
      <c r="A239" t="s">
        <v>95</v>
      </c>
      <c r="B239" s="28">
        <v>43735</v>
      </c>
      <c r="C239" s="58">
        <v>109</v>
      </c>
    </row>
    <row r="240" spans="1:3" x14ac:dyDescent="0.3">
      <c r="A240" t="s">
        <v>95</v>
      </c>
      <c r="B240" s="28">
        <v>43749</v>
      </c>
      <c r="C240" s="58">
        <v>113.5</v>
      </c>
    </row>
    <row r="241" spans="1:3" x14ac:dyDescent="0.3">
      <c r="A241" t="s">
        <v>95</v>
      </c>
      <c r="B241" s="28">
        <v>43763</v>
      </c>
      <c r="C241" s="58">
        <v>96</v>
      </c>
    </row>
    <row r="242" spans="1:3" x14ac:dyDescent="0.3">
      <c r="A242" t="s">
        <v>95</v>
      </c>
      <c r="B242" s="28">
        <v>43777</v>
      </c>
      <c r="C242" s="58">
        <v>113</v>
      </c>
    </row>
    <row r="243" spans="1:3" x14ac:dyDescent="0.3">
      <c r="A243" t="s">
        <v>95</v>
      </c>
      <c r="B243" s="28">
        <v>43791</v>
      </c>
      <c r="C243" s="58">
        <v>86.5</v>
      </c>
    </row>
    <row r="244" spans="1:3" x14ac:dyDescent="0.3">
      <c r="A244" t="s">
        <v>95</v>
      </c>
      <c r="B244" s="28">
        <v>43805</v>
      </c>
      <c r="C244" s="58">
        <v>77</v>
      </c>
    </row>
    <row r="245" spans="1:3" x14ac:dyDescent="0.3">
      <c r="A245" t="s">
        <v>95</v>
      </c>
      <c r="B245" s="28">
        <v>43819</v>
      </c>
      <c r="C245" s="58">
        <v>99.5</v>
      </c>
    </row>
    <row r="246" spans="1:3" x14ac:dyDescent="0.3">
      <c r="A246" t="s">
        <v>95</v>
      </c>
      <c r="B246" s="28">
        <v>43833</v>
      </c>
      <c r="C246" s="58">
        <v>88.5</v>
      </c>
    </row>
    <row r="247" spans="1:3" x14ac:dyDescent="0.3">
      <c r="A247" t="s">
        <v>95</v>
      </c>
      <c r="B247" s="28">
        <v>43847</v>
      </c>
      <c r="C247" s="58">
        <v>90.5</v>
      </c>
    </row>
    <row r="248" spans="1:3" x14ac:dyDescent="0.3">
      <c r="A248" t="s">
        <v>95</v>
      </c>
      <c r="B248" s="28">
        <v>43861</v>
      </c>
      <c r="C248" s="58">
        <v>101.5</v>
      </c>
    </row>
    <row r="249" spans="1:3" x14ac:dyDescent="0.3">
      <c r="A249" t="s">
        <v>95</v>
      </c>
      <c r="B249" s="28">
        <v>43875</v>
      </c>
      <c r="C249" s="58">
        <v>99.5</v>
      </c>
    </row>
    <row r="250" spans="1:3" x14ac:dyDescent="0.3">
      <c r="A250" t="s">
        <v>95</v>
      </c>
      <c r="B250" s="28">
        <v>43889</v>
      </c>
      <c r="C250" s="58">
        <v>108</v>
      </c>
    </row>
    <row r="251" spans="1:3" x14ac:dyDescent="0.3">
      <c r="A251" t="s">
        <v>95</v>
      </c>
      <c r="B251" s="28">
        <v>43903</v>
      </c>
      <c r="C251" s="58">
        <v>101.5</v>
      </c>
    </row>
    <row r="252" spans="1:3" x14ac:dyDescent="0.3">
      <c r="A252" t="s">
        <v>95</v>
      </c>
      <c r="B252" s="28">
        <v>43917</v>
      </c>
      <c r="C252" s="58">
        <v>86</v>
      </c>
    </row>
    <row r="253" spans="1:3" x14ac:dyDescent="0.3">
      <c r="A253" t="s">
        <v>96</v>
      </c>
      <c r="B253" t="s">
        <v>77</v>
      </c>
      <c r="C253" s="58"/>
    </row>
    <row r="254" spans="1:3" x14ac:dyDescent="0.3">
      <c r="A254" t="s">
        <v>96</v>
      </c>
      <c r="B254" s="28">
        <v>43441</v>
      </c>
      <c r="C254" s="58">
        <v>40</v>
      </c>
    </row>
    <row r="255" spans="1:3" x14ac:dyDescent="0.3">
      <c r="A255" t="s">
        <v>96</v>
      </c>
      <c r="B255" s="28">
        <v>43455</v>
      </c>
      <c r="C255" s="58">
        <v>95</v>
      </c>
    </row>
    <row r="256" spans="1:3" x14ac:dyDescent="0.3">
      <c r="A256" t="s">
        <v>96</v>
      </c>
      <c r="B256" s="28">
        <v>43469</v>
      </c>
      <c r="C256" s="58">
        <v>83</v>
      </c>
    </row>
    <row r="257" spans="1:3" x14ac:dyDescent="0.3">
      <c r="A257" t="s">
        <v>96</v>
      </c>
      <c r="B257" s="28">
        <v>43497</v>
      </c>
      <c r="C257" s="58">
        <v>103</v>
      </c>
    </row>
    <row r="258" spans="1:3" x14ac:dyDescent="0.3">
      <c r="A258" t="s">
        <v>96</v>
      </c>
      <c r="B258" s="28">
        <v>43511</v>
      </c>
      <c r="C258" s="58">
        <v>99.5</v>
      </c>
    </row>
    <row r="259" spans="1:3" x14ac:dyDescent="0.3">
      <c r="A259" t="s">
        <v>96</v>
      </c>
      <c r="B259" s="28">
        <v>43523</v>
      </c>
      <c r="C259" s="58">
        <v>66</v>
      </c>
    </row>
    <row r="260" spans="1:3" x14ac:dyDescent="0.3">
      <c r="A260" t="s">
        <v>96</v>
      </c>
      <c r="B260" s="28">
        <v>43539</v>
      </c>
      <c r="C260" s="58">
        <v>93.5</v>
      </c>
    </row>
    <row r="261" spans="1:3" x14ac:dyDescent="0.3">
      <c r="A261" t="s">
        <v>96</v>
      </c>
      <c r="B261" s="28">
        <v>43553</v>
      </c>
      <c r="C261" s="58">
        <v>74</v>
      </c>
    </row>
    <row r="262" spans="1:3" x14ac:dyDescent="0.3">
      <c r="A262" t="s">
        <v>96</v>
      </c>
      <c r="B262" s="28">
        <v>43567</v>
      </c>
      <c r="C262" s="58">
        <v>88</v>
      </c>
    </row>
    <row r="263" spans="1:3" x14ac:dyDescent="0.3">
      <c r="A263" t="s">
        <v>96</v>
      </c>
      <c r="B263" s="28">
        <v>43581</v>
      </c>
      <c r="C263" s="58">
        <v>88</v>
      </c>
    </row>
    <row r="264" spans="1:3" x14ac:dyDescent="0.3">
      <c r="A264" t="s">
        <v>96</v>
      </c>
      <c r="B264" s="28">
        <v>43595</v>
      </c>
      <c r="C264" s="58">
        <v>92</v>
      </c>
    </row>
    <row r="265" spans="1:3" x14ac:dyDescent="0.3">
      <c r="A265" t="s">
        <v>96</v>
      </c>
      <c r="B265" s="28">
        <v>43609</v>
      </c>
      <c r="C265" s="58">
        <v>103.5</v>
      </c>
    </row>
    <row r="266" spans="1:3" x14ac:dyDescent="0.3">
      <c r="A266" t="s">
        <v>96</v>
      </c>
      <c r="B266" s="28">
        <v>43623</v>
      </c>
      <c r="C266" s="58">
        <v>89.5</v>
      </c>
    </row>
    <row r="267" spans="1:3" x14ac:dyDescent="0.3">
      <c r="A267" t="s">
        <v>96</v>
      </c>
      <c r="B267" s="28">
        <v>43637</v>
      </c>
      <c r="C267" s="58">
        <v>110.5</v>
      </c>
    </row>
    <row r="268" spans="1:3" x14ac:dyDescent="0.3">
      <c r="A268" t="s">
        <v>96</v>
      </c>
      <c r="B268" s="28">
        <v>43651</v>
      </c>
      <c r="C268" s="58">
        <v>85</v>
      </c>
    </row>
    <row r="269" spans="1:3" x14ac:dyDescent="0.3">
      <c r="A269" t="s">
        <v>96</v>
      </c>
      <c r="B269" s="28">
        <v>43665</v>
      </c>
      <c r="C269" s="58">
        <v>81</v>
      </c>
    </row>
    <row r="270" spans="1:3" x14ac:dyDescent="0.3">
      <c r="A270" t="s">
        <v>96</v>
      </c>
      <c r="B270" s="28">
        <v>43679</v>
      </c>
      <c r="C270" s="58">
        <v>101.5</v>
      </c>
    </row>
    <row r="271" spans="1:3" x14ac:dyDescent="0.3">
      <c r="A271" t="s">
        <v>96</v>
      </c>
      <c r="B271" s="28">
        <v>43693</v>
      </c>
      <c r="C271" s="58">
        <v>51.5</v>
      </c>
    </row>
    <row r="272" spans="1:3" x14ac:dyDescent="0.3">
      <c r="A272" t="s">
        <v>96</v>
      </c>
      <c r="B272" s="28">
        <v>43707</v>
      </c>
      <c r="C272" s="58">
        <v>98.5</v>
      </c>
    </row>
    <row r="273" spans="1:3" x14ac:dyDescent="0.3">
      <c r="A273" t="s">
        <v>96</v>
      </c>
      <c r="B273" s="28">
        <v>43721</v>
      </c>
      <c r="C273" s="58">
        <v>50</v>
      </c>
    </row>
    <row r="274" spans="1:3" x14ac:dyDescent="0.3">
      <c r="A274" t="s">
        <v>97</v>
      </c>
      <c r="B274" t="s">
        <v>77</v>
      </c>
      <c r="C274" s="58"/>
    </row>
    <row r="275" spans="1:3" x14ac:dyDescent="0.3">
      <c r="A275" t="s">
        <v>97</v>
      </c>
      <c r="B275" s="28">
        <v>43407</v>
      </c>
      <c r="C275" s="58">
        <v>32</v>
      </c>
    </row>
    <row r="276" spans="1:3" x14ac:dyDescent="0.3">
      <c r="A276" t="s">
        <v>97</v>
      </c>
      <c r="B276" s="28">
        <v>43427</v>
      </c>
      <c r="C276" s="58">
        <v>96</v>
      </c>
    </row>
    <row r="277" spans="1:3" x14ac:dyDescent="0.3">
      <c r="A277" t="s">
        <v>97</v>
      </c>
      <c r="B277" s="28">
        <v>43441</v>
      </c>
      <c r="C277" s="58">
        <v>69</v>
      </c>
    </row>
    <row r="278" spans="1:3" x14ac:dyDescent="0.3">
      <c r="A278" t="s">
        <v>97</v>
      </c>
      <c r="B278" s="28">
        <v>43455</v>
      </c>
      <c r="C278" s="58">
        <v>86</v>
      </c>
    </row>
    <row r="279" spans="1:3" x14ac:dyDescent="0.3">
      <c r="A279" t="s">
        <v>97</v>
      </c>
      <c r="B279" s="28">
        <v>43469</v>
      </c>
      <c r="C279" s="58">
        <v>83</v>
      </c>
    </row>
    <row r="280" spans="1:3" x14ac:dyDescent="0.3">
      <c r="A280" t="s">
        <v>97</v>
      </c>
      <c r="B280" s="28">
        <v>43497</v>
      </c>
      <c r="C280" s="58">
        <v>119.5</v>
      </c>
    </row>
    <row r="281" spans="1:3" x14ac:dyDescent="0.3">
      <c r="A281" t="s">
        <v>97</v>
      </c>
      <c r="B281" s="28">
        <v>43553</v>
      </c>
      <c r="C281" s="58">
        <v>14</v>
      </c>
    </row>
    <row r="282" spans="1:3" x14ac:dyDescent="0.3">
      <c r="A282" t="s">
        <v>97</v>
      </c>
      <c r="B282" s="28">
        <v>43581</v>
      </c>
      <c r="C282" s="58">
        <v>35</v>
      </c>
    </row>
    <row r="283" spans="1:3" x14ac:dyDescent="0.3">
      <c r="A283" t="s">
        <v>97</v>
      </c>
      <c r="B283" s="28">
        <v>43595</v>
      </c>
      <c r="C283" s="58">
        <v>68.5</v>
      </c>
    </row>
    <row r="284" spans="1:3" x14ac:dyDescent="0.3">
      <c r="A284" t="s">
        <v>97</v>
      </c>
      <c r="B284" s="28">
        <v>43637</v>
      </c>
      <c r="C284" s="58">
        <v>58</v>
      </c>
    </row>
    <row r="285" spans="1:3" x14ac:dyDescent="0.3">
      <c r="A285" t="s">
        <v>97</v>
      </c>
      <c r="B285" s="28">
        <v>43651</v>
      </c>
      <c r="C285" s="58">
        <v>85.5</v>
      </c>
    </row>
    <row r="286" spans="1:3" x14ac:dyDescent="0.3">
      <c r="A286" t="s">
        <v>97</v>
      </c>
      <c r="B286" s="28">
        <v>43665</v>
      </c>
      <c r="C286" s="58">
        <v>64</v>
      </c>
    </row>
    <row r="287" spans="1:3" x14ac:dyDescent="0.3">
      <c r="A287" t="s">
        <v>97</v>
      </c>
      <c r="B287" s="28">
        <v>43679</v>
      </c>
      <c r="C287" s="58">
        <v>103.5</v>
      </c>
    </row>
    <row r="288" spans="1:3" x14ac:dyDescent="0.3">
      <c r="A288" t="s">
        <v>97</v>
      </c>
      <c r="B288" s="28">
        <v>43693</v>
      </c>
      <c r="C288" s="58">
        <v>102.5</v>
      </c>
    </row>
    <row r="289" spans="1:3" x14ac:dyDescent="0.3">
      <c r="A289" t="s">
        <v>97</v>
      </c>
      <c r="B289" s="28">
        <v>43707</v>
      </c>
      <c r="C289" s="58">
        <v>113.5</v>
      </c>
    </row>
    <row r="290" spans="1:3" x14ac:dyDescent="0.3">
      <c r="A290" t="s">
        <v>97</v>
      </c>
      <c r="B290" s="28">
        <v>43721</v>
      </c>
      <c r="C290" s="58">
        <v>89</v>
      </c>
    </row>
    <row r="291" spans="1:3" x14ac:dyDescent="0.3">
      <c r="A291" t="s">
        <v>97</v>
      </c>
      <c r="B291" s="28">
        <v>43735</v>
      </c>
      <c r="C291" s="58">
        <v>85</v>
      </c>
    </row>
    <row r="292" spans="1:3" x14ac:dyDescent="0.3">
      <c r="A292" t="s">
        <v>97</v>
      </c>
      <c r="B292" s="28">
        <v>43749</v>
      </c>
      <c r="C292" s="58">
        <v>81.5</v>
      </c>
    </row>
    <row r="293" spans="1:3" x14ac:dyDescent="0.3">
      <c r="A293" t="s">
        <v>97</v>
      </c>
      <c r="B293" s="28">
        <v>43763</v>
      </c>
      <c r="C293" s="58">
        <v>89.5</v>
      </c>
    </row>
    <row r="294" spans="1:3" x14ac:dyDescent="0.3">
      <c r="A294" t="s">
        <v>97</v>
      </c>
      <c r="B294" s="28">
        <v>43777</v>
      </c>
      <c r="C294" s="58">
        <v>96.5</v>
      </c>
    </row>
    <row r="295" spans="1:3" x14ac:dyDescent="0.3">
      <c r="A295" t="s">
        <v>97</v>
      </c>
      <c r="B295" s="28">
        <v>43791</v>
      </c>
      <c r="C295" s="58">
        <v>20</v>
      </c>
    </row>
    <row r="296" spans="1:3" x14ac:dyDescent="0.3">
      <c r="A296" t="s">
        <v>49</v>
      </c>
      <c r="B296" t="s">
        <v>77</v>
      </c>
      <c r="C296" s="58"/>
    </row>
    <row r="297" spans="1:3" x14ac:dyDescent="0.3">
      <c r="A297" t="s">
        <v>49</v>
      </c>
      <c r="B297" s="28">
        <v>43889</v>
      </c>
      <c r="C297" s="58">
        <v>53</v>
      </c>
    </row>
    <row r="298" spans="1:3" x14ac:dyDescent="0.3">
      <c r="A298" t="s">
        <v>49</v>
      </c>
      <c r="B298" s="28">
        <v>44009</v>
      </c>
      <c r="C298" s="58">
        <v>97.5</v>
      </c>
    </row>
    <row r="299" spans="1:3" x14ac:dyDescent="0.3">
      <c r="A299" t="s">
        <v>98</v>
      </c>
      <c r="B299" s="28">
        <v>43869</v>
      </c>
      <c r="C299" s="58">
        <v>78</v>
      </c>
    </row>
    <row r="300" spans="1:3" x14ac:dyDescent="0.3">
      <c r="A300" t="s">
        <v>98</v>
      </c>
      <c r="B300" s="28">
        <v>43883</v>
      </c>
      <c r="C300" s="58">
        <v>49.5</v>
      </c>
    </row>
    <row r="301" spans="1:3" x14ac:dyDescent="0.3">
      <c r="A301" t="s">
        <v>98</v>
      </c>
      <c r="B301" s="28">
        <v>43897</v>
      </c>
      <c r="C301" s="58">
        <v>92</v>
      </c>
    </row>
    <row r="302" spans="1:3" x14ac:dyDescent="0.3">
      <c r="A302" t="s">
        <v>98</v>
      </c>
      <c r="B302" s="28">
        <v>43910</v>
      </c>
      <c r="C302" s="58">
        <v>79.5</v>
      </c>
    </row>
    <row r="303" spans="1:3" x14ac:dyDescent="0.3">
      <c r="A303" t="s">
        <v>98</v>
      </c>
      <c r="B303" s="28">
        <v>43911</v>
      </c>
      <c r="C303" s="58">
        <v>44.5</v>
      </c>
    </row>
    <row r="304" spans="1:3" x14ac:dyDescent="0.3">
      <c r="A304" t="s">
        <v>98</v>
      </c>
      <c r="B304" s="28">
        <v>43915</v>
      </c>
      <c r="C304" s="58">
        <v>24</v>
      </c>
    </row>
    <row r="305" spans="1:3" x14ac:dyDescent="0.3">
      <c r="A305" t="s">
        <v>98</v>
      </c>
      <c r="B305" s="28">
        <v>43967</v>
      </c>
      <c r="C305" s="58">
        <v>80</v>
      </c>
    </row>
    <row r="306" spans="1:3" x14ac:dyDescent="0.3">
      <c r="A306" t="s">
        <v>98</v>
      </c>
      <c r="B306" s="28">
        <v>43981</v>
      </c>
      <c r="C306" s="58">
        <v>96.5</v>
      </c>
    </row>
    <row r="307" spans="1:3" x14ac:dyDescent="0.3">
      <c r="A307" t="s">
        <v>98</v>
      </c>
      <c r="B307" s="28">
        <v>43995</v>
      </c>
      <c r="C307" s="58">
        <v>52</v>
      </c>
    </row>
    <row r="308" spans="1:3" x14ac:dyDescent="0.3">
      <c r="A308" t="s">
        <v>98</v>
      </c>
      <c r="B308" s="28">
        <v>44023</v>
      </c>
      <c r="C308" s="58">
        <v>72</v>
      </c>
    </row>
    <row r="309" spans="1:3" x14ac:dyDescent="0.3">
      <c r="A309" t="s">
        <v>99</v>
      </c>
      <c r="B309" s="28">
        <v>43729</v>
      </c>
      <c r="C309" s="58">
        <v>36</v>
      </c>
    </row>
    <row r="310" spans="1:3" x14ac:dyDescent="0.3">
      <c r="A310" t="s">
        <v>99</v>
      </c>
      <c r="B310" s="28">
        <v>43749</v>
      </c>
      <c r="C310" s="58">
        <v>112.5</v>
      </c>
    </row>
    <row r="311" spans="1:3" x14ac:dyDescent="0.3">
      <c r="A311" t="s">
        <v>99</v>
      </c>
      <c r="B311" s="28">
        <v>43763</v>
      </c>
      <c r="C311" s="58">
        <v>95</v>
      </c>
    </row>
    <row r="312" spans="1:3" x14ac:dyDescent="0.3">
      <c r="A312" t="s">
        <v>99</v>
      </c>
      <c r="B312" s="28">
        <v>43777</v>
      </c>
      <c r="C312" s="58">
        <v>105</v>
      </c>
    </row>
    <row r="313" spans="1:3" x14ac:dyDescent="0.3">
      <c r="A313" t="s">
        <v>99</v>
      </c>
      <c r="B313" s="28">
        <v>43791</v>
      </c>
      <c r="C313" s="58">
        <v>98</v>
      </c>
    </row>
    <row r="314" spans="1:3" x14ac:dyDescent="0.3">
      <c r="A314" t="s">
        <v>99</v>
      </c>
      <c r="B314" s="28">
        <v>43805</v>
      </c>
      <c r="C314" s="58">
        <v>67.5</v>
      </c>
    </row>
    <row r="315" spans="1:3" x14ac:dyDescent="0.3">
      <c r="A315" t="s">
        <v>99</v>
      </c>
      <c r="B315" s="28">
        <v>43819</v>
      </c>
      <c r="C315" s="58">
        <v>89.5</v>
      </c>
    </row>
    <row r="316" spans="1:3" x14ac:dyDescent="0.3">
      <c r="A316" t="s">
        <v>99</v>
      </c>
      <c r="B316" s="28">
        <v>43833</v>
      </c>
      <c r="C316" s="58">
        <v>87.5</v>
      </c>
    </row>
    <row r="317" spans="1:3" x14ac:dyDescent="0.3">
      <c r="A317" t="s">
        <v>99</v>
      </c>
      <c r="B317" s="28">
        <v>43847</v>
      </c>
      <c r="C317" s="58">
        <v>56.5</v>
      </c>
    </row>
    <row r="318" spans="1:3" x14ac:dyDescent="0.3">
      <c r="A318" t="s">
        <v>99</v>
      </c>
      <c r="B318" s="28">
        <v>43861</v>
      </c>
      <c r="C318" s="58">
        <v>94</v>
      </c>
    </row>
    <row r="319" spans="1:3" x14ac:dyDescent="0.3">
      <c r="A319" t="s">
        <v>100</v>
      </c>
      <c r="B319" t="s">
        <v>77</v>
      </c>
      <c r="C319" s="58"/>
    </row>
    <row r="320" spans="1:3" x14ac:dyDescent="0.3">
      <c r="A320" t="s">
        <v>100</v>
      </c>
      <c r="B320" s="28">
        <v>43407</v>
      </c>
      <c r="C320" s="58">
        <v>47</v>
      </c>
    </row>
    <row r="321" spans="1:3" x14ac:dyDescent="0.3">
      <c r="A321" t="s">
        <v>100</v>
      </c>
      <c r="B321" s="28">
        <v>43427</v>
      </c>
      <c r="C321" s="58">
        <v>123</v>
      </c>
    </row>
    <row r="322" spans="1:3" x14ac:dyDescent="0.3">
      <c r="A322" t="s">
        <v>100</v>
      </c>
      <c r="B322" s="28">
        <v>43441</v>
      </c>
      <c r="C322" s="58">
        <v>70</v>
      </c>
    </row>
    <row r="323" spans="1:3" x14ac:dyDescent="0.3">
      <c r="A323" t="s">
        <v>100</v>
      </c>
      <c r="B323" s="28">
        <v>43455</v>
      </c>
      <c r="C323" s="58">
        <v>113</v>
      </c>
    </row>
    <row r="324" spans="1:3" x14ac:dyDescent="0.3">
      <c r="A324" t="s">
        <v>100</v>
      </c>
      <c r="B324" s="28">
        <v>43469</v>
      </c>
      <c r="C324" s="58">
        <v>90.5</v>
      </c>
    </row>
    <row r="325" spans="1:3" x14ac:dyDescent="0.3">
      <c r="A325" t="s">
        <v>50</v>
      </c>
      <c r="B325" t="s">
        <v>77</v>
      </c>
      <c r="C325" s="58"/>
    </row>
    <row r="326" spans="1:3" x14ac:dyDescent="0.3">
      <c r="A326" t="s">
        <v>50</v>
      </c>
      <c r="B326" s="28">
        <v>43511</v>
      </c>
      <c r="C326" s="58">
        <v>99.5</v>
      </c>
    </row>
    <row r="327" spans="1:3" x14ac:dyDescent="0.3">
      <c r="A327" t="s">
        <v>50</v>
      </c>
      <c r="B327" s="28">
        <v>43525</v>
      </c>
      <c r="C327" s="58">
        <v>90</v>
      </c>
    </row>
    <row r="328" spans="1:3" x14ac:dyDescent="0.3">
      <c r="A328" t="s">
        <v>50</v>
      </c>
      <c r="B328" s="28">
        <v>43539</v>
      </c>
      <c r="C328" s="58">
        <v>93.5</v>
      </c>
    </row>
    <row r="329" spans="1:3" x14ac:dyDescent="0.3">
      <c r="A329" t="s">
        <v>50</v>
      </c>
      <c r="B329" s="28">
        <v>43553</v>
      </c>
      <c r="C329" s="58">
        <v>91</v>
      </c>
    </row>
    <row r="330" spans="1:3" x14ac:dyDescent="0.3">
      <c r="A330" t="s">
        <v>50</v>
      </c>
      <c r="B330" s="28">
        <v>43567</v>
      </c>
      <c r="C330" s="58">
        <v>88.5</v>
      </c>
    </row>
    <row r="331" spans="1:3" x14ac:dyDescent="0.3">
      <c r="A331" t="s">
        <v>50</v>
      </c>
      <c r="B331" s="28">
        <v>43581</v>
      </c>
      <c r="C331" s="58">
        <v>88</v>
      </c>
    </row>
    <row r="332" spans="1:3" x14ac:dyDescent="0.3">
      <c r="A332" t="s">
        <v>50</v>
      </c>
      <c r="B332" s="28">
        <v>43595</v>
      </c>
      <c r="C332" s="58">
        <v>94</v>
      </c>
    </row>
    <row r="333" spans="1:3" x14ac:dyDescent="0.3">
      <c r="A333" t="s">
        <v>50</v>
      </c>
      <c r="B333" s="28">
        <v>43609</v>
      </c>
      <c r="C333" s="58">
        <v>108</v>
      </c>
    </row>
    <row r="334" spans="1:3" x14ac:dyDescent="0.3">
      <c r="A334" t="s">
        <v>50</v>
      </c>
      <c r="B334" s="28">
        <v>43623</v>
      </c>
      <c r="C334" s="58">
        <v>89.5</v>
      </c>
    </row>
    <row r="335" spans="1:3" x14ac:dyDescent="0.3">
      <c r="A335" t="s">
        <v>50</v>
      </c>
      <c r="B335" s="28">
        <v>43637</v>
      </c>
      <c r="C335" s="58">
        <v>113.5</v>
      </c>
    </row>
    <row r="336" spans="1:3" x14ac:dyDescent="0.3">
      <c r="A336" t="s">
        <v>50</v>
      </c>
      <c r="B336" s="28">
        <v>43651</v>
      </c>
      <c r="C336" s="58">
        <v>84</v>
      </c>
    </row>
    <row r="337" spans="1:3" x14ac:dyDescent="0.3">
      <c r="A337" t="s">
        <v>50</v>
      </c>
      <c r="B337" s="28">
        <v>43665</v>
      </c>
      <c r="C337" s="58">
        <v>82.5</v>
      </c>
    </row>
    <row r="338" spans="1:3" x14ac:dyDescent="0.3">
      <c r="A338" t="s">
        <v>50</v>
      </c>
      <c r="B338" s="28">
        <v>43679</v>
      </c>
      <c r="C338" s="58">
        <v>94.5</v>
      </c>
    </row>
    <row r="339" spans="1:3" x14ac:dyDescent="0.3">
      <c r="A339" t="s">
        <v>50</v>
      </c>
      <c r="B339" s="28">
        <v>43693</v>
      </c>
      <c r="C339" s="58">
        <v>110</v>
      </c>
    </row>
    <row r="340" spans="1:3" x14ac:dyDescent="0.3">
      <c r="A340" t="s">
        <v>50</v>
      </c>
      <c r="B340" s="28">
        <v>43707</v>
      </c>
      <c r="C340" s="58">
        <v>90.5</v>
      </c>
    </row>
    <row r="341" spans="1:3" x14ac:dyDescent="0.3">
      <c r="A341" t="s">
        <v>50</v>
      </c>
      <c r="B341" s="28">
        <v>43721</v>
      </c>
      <c r="C341" s="58">
        <v>98</v>
      </c>
    </row>
    <row r="342" spans="1:3" x14ac:dyDescent="0.3">
      <c r="A342" t="s">
        <v>50</v>
      </c>
      <c r="B342" s="28">
        <v>43735</v>
      </c>
      <c r="C342" s="58">
        <v>125</v>
      </c>
    </row>
    <row r="343" spans="1:3" x14ac:dyDescent="0.3">
      <c r="A343" t="s">
        <v>50</v>
      </c>
      <c r="B343" s="28">
        <v>43749</v>
      </c>
      <c r="C343" s="58">
        <v>123</v>
      </c>
    </row>
    <row r="344" spans="1:3" x14ac:dyDescent="0.3">
      <c r="A344" t="s">
        <v>50</v>
      </c>
      <c r="B344" s="28">
        <v>43763</v>
      </c>
      <c r="C344" s="58">
        <v>108.5</v>
      </c>
    </row>
    <row r="345" spans="1:3" x14ac:dyDescent="0.3">
      <c r="A345" t="s">
        <v>50</v>
      </c>
      <c r="B345" s="28">
        <v>43777</v>
      </c>
      <c r="C345" s="58">
        <v>123.5</v>
      </c>
    </row>
    <row r="346" spans="1:3" x14ac:dyDescent="0.3">
      <c r="A346" t="s">
        <v>50</v>
      </c>
      <c r="B346" s="28">
        <v>43791</v>
      </c>
      <c r="C346" s="58">
        <v>96.5</v>
      </c>
    </row>
    <row r="347" spans="1:3" x14ac:dyDescent="0.3">
      <c r="A347" t="s">
        <v>50</v>
      </c>
      <c r="B347" s="28">
        <v>43805</v>
      </c>
      <c r="C347" s="58">
        <v>78.5</v>
      </c>
    </row>
    <row r="348" spans="1:3" x14ac:dyDescent="0.3">
      <c r="A348" t="s">
        <v>50</v>
      </c>
      <c r="B348" s="28">
        <v>43819</v>
      </c>
      <c r="C348" s="58">
        <v>101</v>
      </c>
    </row>
    <row r="349" spans="1:3" x14ac:dyDescent="0.3">
      <c r="A349" t="s">
        <v>50</v>
      </c>
      <c r="B349" s="28">
        <v>43833</v>
      </c>
      <c r="C349" s="58">
        <v>89.5</v>
      </c>
    </row>
    <row r="350" spans="1:3" x14ac:dyDescent="0.3">
      <c r="A350" t="s">
        <v>50</v>
      </c>
      <c r="B350" s="28">
        <v>43847</v>
      </c>
      <c r="C350" s="58">
        <v>90.5</v>
      </c>
    </row>
    <row r="351" spans="1:3" x14ac:dyDescent="0.3">
      <c r="A351" t="s">
        <v>50</v>
      </c>
      <c r="B351" s="28">
        <v>43861</v>
      </c>
      <c r="C351" s="58">
        <v>102</v>
      </c>
    </row>
    <row r="352" spans="1:3" x14ac:dyDescent="0.3">
      <c r="A352" t="s">
        <v>50</v>
      </c>
      <c r="B352" s="28">
        <v>43875</v>
      </c>
      <c r="C352" s="58">
        <v>98</v>
      </c>
    </row>
    <row r="353" spans="1:3" x14ac:dyDescent="0.3">
      <c r="A353" t="s">
        <v>50</v>
      </c>
      <c r="B353" s="28">
        <v>43889</v>
      </c>
      <c r="C353" s="58">
        <v>90.5</v>
      </c>
    </row>
    <row r="354" spans="1:3" x14ac:dyDescent="0.3">
      <c r="A354" t="s">
        <v>50</v>
      </c>
      <c r="B354" s="28">
        <v>43903</v>
      </c>
      <c r="C354" s="58">
        <v>93</v>
      </c>
    </row>
    <row r="355" spans="1:3" x14ac:dyDescent="0.3">
      <c r="A355" t="s">
        <v>50</v>
      </c>
      <c r="B355" s="28">
        <v>43917</v>
      </c>
      <c r="C355" s="58">
        <v>76</v>
      </c>
    </row>
    <row r="356" spans="1:3" x14ac:dyDescent="0.3">
      <c r="A356" t="s">
        <v>50</v>
      </c>
      <c r="B356" s="28">
        <v>43931</v>
      </c>
      <c r="C356" s="58">
        <v>24</v>
      </c>
    </row>
    <row r="357" spans="1:3" x14ac:dyDescent="0.3">
      <c r="A357" t="s">
        <v>50</v>
      </c>
      <c r="B357" s="28">
        <v>43987</v>
      </c>
      <c r="C357" s="58">
        <v>73</v>
      </c>
    </row>
    <row r="358" spans="1:3" x14ac:dyDescent="0.3">
      <c r="A358" t="s">
        <v>50</v>
      </c>
      <c r="B358" s="28">
        <v>43995</v>
      </c>
      <c r="C358" s="58">
        <v>81</v>
      </c>
    </row>
    <row r="359" spans="1:3" x14ac:dyDescent="0.3">
      <c r="A359" t="s">
        <v>50</v>
      </c>
      <c r="B359" s="28">
        <v>44009</v>
      </c>
      <c r="C359" s="58">
        <v>96.5</v>
      </c>
    </row>
    <row r="360" spans="1:3" x14ac:dyDescent="0.3">
      <c r="A360" t="s">
        <v>50</v>
      </c>
      <c r="B360" s="28">
        <v>44023</v>
      </c>
      <c r="C360" s="58">
        <v>106.5</v>
      </c>
    </row>
    <row r="361" spans="1:3" x14ac:dyDescent="0.3">
      <c r="A361" t="s">
        <v>51</v>
      </c>
      <c r="B361" t="s">
        <v>77</v>
      </c>
      <c r="C361" s="58"/>
    </row>
    <row r="362" spans="1:3" x14ac:dyDescent="0.3">
      <c r="A362" t="s">
        <v>51</v>
      </c>
      <c r="B362" s="28">
        <v>43735</v>
      </c>
      <c r="C362" s="58">
        <v>153</v>
      </c>
    </row>
    <row r="363" spans="1:3" x14ac:dyDescent="0.3">
      <c r="A363" t="s">
        <v>51</v>
      </c>
      <c r="B363" s="28">
        <v>43749</v>
      </c>
      <c r="C363" s="58">
        <v>157.5</v>
      </c>
    </row>
    <row r="364" spans="1:3" x14ac:dyDescent="0.3">
      <c r="A364" t="s">
        <v>51</v>
      </c>
      <c r="B364" s="28">
        <v>43763</v>
      </c>
      <c r="C364" s="58">
        <v>108</v>
      </c>
    </row>
    <row r="365" spans="1:3" x14ac:dyDescent="0.3">
      <c r="A365" t="s">
        <v>51</v>
      </c>
      <c r="B365" s="28">
        <v>43777</v>
      </c>
      <c r="C365" s="58">
        <v>129</v>
      </c>
    </row>
    <row r="366" spans="1:3" x14ac:dyDescent="0.3">
      <c r="A366" t="s">
        <v>51</v>
      </c>
      <c r="B366" s="28">
        <v>43791</v>
      </c>
      <c r="C366" s="58">
        <v>112.5</v>
      </c>
    </row>
    <row r="367" spans="1:3" x14ac:dyDescent="0.3">
      <c r="A367" t="s">
        <v>51</v>
      </c>
      <c r="B367" s="28">
        <v>43805</v>
      </c>
      <c r="C367" s="58">
        <v>94</v>
      </c>
    </row>
    <row r="368" spans="1:3" x14ac:dyDescent="0.3">
      <c r="A368" t="s">
        <v>51</v>
      </c>
      <c r="B368" s="28">
        <v>43819</v>
      </c>
      <c r="C368" s="58">
        <v>106</v>
      </c>
    </row>
    <row r="369" spans="1:3" x14ac:dyDescent="0.3">
      <c r="A369" t="s">
        <v>51</v>
      </c>
      <c r="B369" s="28">
        <v>43833</v>
      </c>
      <c r="C369" s="58">
        <v>87.5</v>
      </c>
    </row>
    <row r="370" spans="1:3" x14ac:dyDescent="0.3">
      <c r="A370" t="s">
        <v>51</v>
      </c>
      <c r="B370" s="28">
        <v>43847</v>
      </c>
      <c r="C370" s="58">
        <v>86.5</v>
      </c>
    </row>
    <row r="371" spans="1:3" x14ac:dyDescent="0.3">
      <c r="A371" t="s">
        <v>51</v>
      </c>
      <c r="B371" s="28">
        <v>43861</v>
      </c>
      <c r="C371" s="58">
        <v>105</v>
      </c>
    </row>
    <row r="372" spans="1:3" x14ac:dyDescent="0.3">
      <c r="A372" t="s">
        <v>51</v>
      </c>
      <c r="B372" s="28">
        <v>43875</v>
      </c>
      <c r="C372" s="58">
        <v>97</v>
      </c>
    </row>
    <row r="373" spans="1:3" x14ac:dyDescent="0.3">
      <c r="A373" t="s">
        <v>51</v>
      </c>
      <c r="B373" s="28">
        <v>43889</v>
      </c>
      <c r="C373" s="58">
        <v>94</v>
      </c>
    </row>
    <row r="374" spans="1:3" x14ac:dyDescent="0.3">
      <c r="A374" t="s">
        <v>51</v>
      </c>
      <c r="B374" s="28">
        <v>43903</v>
      </c>
      <c r="C374" s="58">
        <v>93.5</v>
      </c>
    </row>
    <row r="375" spans="1:3" x14ac:dyDescent="0.3">
      <c r="A375" t="s">
        <v>51</v>
      </c>
      <c r="B375" s="28">
        <v>43917</v>
      </c>
      <c r="C375" s="58">
        <v>86</v>
      </c>
    </row>
    <row r="376" spans="1:3" x14ac:dyDescent="0.3">
      <c r="A376" t="s">
        <v>51</v>
      </c>
      <c r="B376" s="28">
        <v>43931</v>
      </c>
      <c r="C376" s="58">
        <v>24</v>
      </c>
    </row>
    <row r="377" spans="1:3" x14ac:dyDescent="0.3">
      <c r="A377" t="s">
        <v>51</v>
      </c>
      <c r="B377" s="28">
        <v>43987</v>
      </c>
      <c r="C377" s="58">
        <v>32.5</v>
      </c>
    </row>
    <row r="378" spans="1:3" x14ac:dyDescent="0.3">
      <c r="A378" t="s">
        <v>51</v>
      </c>
      <c r="B378" s="28">
        <v>43995</v>
      </c>
      <c r="C378" s="58">
        <v>71</v>
      </c>
    </row>
    <row r="379" spans="1:3" x14ac:dyDescent="0.3">
      <c r="A379" t="s">
        <v>51</v>
      </c>
      <c r="B379" s="28">
        <v>44009</v>
      </c>
      <c r="C379" s="58">
        <v>84.5</v>
      </c>
    </row>
    <row r="380" spans="1:3" x14ac:dyDescent="0.3">
      <c r="A380" t="s">
        <v>51</v>
      </c>
      <c r="B380" s="28">
        <v>44023</v>
      </c>
      <c r="C380" s="58">
        <v>37.5</v>
      </c>
    </row>
    <row r="381" spans="1:3" x14ac:dyDescent="0.3">
      <c r="A381" t="s">
        <v>52</v>
      </c>
      <c r="B381" t="s">
        <v>77</v>
      </c>
      <c r="C381" s="58"/>
    </row>
    <row r="382" spans="1:3" x14ac:dyDescent="0.3">
      <c r="A382" t="s">
        <v>52</v>
      </c>
      <c r="B382" s="28">
        <v>43889</v>
      </c>
      <c r="C382" s="58">
        <v>92.5</v>
      </c>
    </row>
    <row r="383" spans="1:3" x14ac:dyDescent="0.3">
      <c r="A383" t="s">
        <v>52</v>
      </c>
      <c r="B383" s="28">
        <v>43903</v>
      </c>
      <c r="C383" s="58">
        <v>64</v>
      </c>
    </row>
    <row r="384" spans="1:3" x14ac:dyDescent="0.3">
      <c r="A384" t="s">
        <v>52</v>
      </c>
      <c r="B384" s="28">
        <v>43917</v>
      </c>
      <c r="C384" s="58">
        <v>85</v>
      </c>
    </row>
    <row r="385" spans="1:3" x14ac:dyDescent="0.3">
      <c r="A385" t="s">
        <v>52</v>
      </c>
      <c r="B385" s="28">
        <v>43973</v>
      </c>
      <c r="C385" s="58">
        <v>80</v>
      </c>
    </row>
    <row r="386" spans="1:3" x14ac:dyDescent="0.3">
      <c r="A386" t="s">
        <v>52</v>
      </c>
      <c r="B386" s="28">
        <v>43987</v>
      </c>
      <c r="C386" s="58">
        <v>96.5</v>
      </c>
    </row>
    <row r="387" spans="1:3" x14ac:dyDescent="0.3">
      <c r="A387" t="s">
        <v>52</v>
      </c>
      <c r="B387" s="28">
        <v>43995</v>
      </c>
      <c r="C387" s="58">
        <v>52</v>
      </c>
    </row>
    <row r="388" spans="1:3" x14ac:dyDescent="0.3">
      <c r="A388" t="s">
        <v>52</v>
      </c>
      <c r="B388" s="28">
        <v>44009</v>
      </c>
      <c r="C388" s="58">
        <v>97.5</v>
      </c>
    </row>
    <row r="389" spans="1:3" x14ac:dyDescent="0.3">
      <c r="A389" t="s">
        <v>52</v>
      </c>
      <c r="B389" s="28">
        <v>44023</v>
      </c>
      <c r="C389" s="58">
        <v>74</v>
      </c>
    </row>
    <row r="390" spans="1:3" x14ac:dyDescent="0.3">
      <c r="A390" t="s">
        <v>101</v>
      </c>
      <c r="B390" t="s">
        <v>77</v>
      </c>
      <c r="C390" s="58"/>
    </row>
    <row r="391" spans="1:3" x14ac:dyDescent="0.3">
      <c r="A391" t="s">
        <v>101</v>
      </c>
      <c r="B391" s="28">
        <v>43511</v>
      </c>
      <c r="C391" s="58">
        <v>101</v>
      </c>
    </row>
    <row r="392" spans="1:3" x14ac:dyDescent="0.3">
      <c r="A392" t="s">
        <v>101</v>
      </c>
      <c r="B392" s="28">
        <v>43525</v>
      </c>
      <c r="C392" s="58">
        <v>69</v>
      </c>
    </row>
    <row r="393" spans="1:3" x14ac:dyDescent="0.3">
      <c r="A393" t="s">
        <v>101</v>
      </c>
      <c r="B393" s="28">
        <v>43539</v>
      </c>
      <c r="C393" s="58">
        <v>93.5</v>
      </c>
    </row>
    <row r="394" spans="1:3" x14ac:dyDescent="0.3">
      <c r="A394" t="s">
        <v>101</v>
      </c>
      <c r="B394" s="28">
        <v>43553</v>
      </c>
      <c r="C394" s="58">
        <v>88</v>
      </c>
    </row>
    <row r="395" spans="1:3" x14ac:dyDescent="0.3">
      <c r="A395" t="s">
        <v>101</v>
      </c>
      <c r="B395" s="28">
        <v>43567</v>
      </c>
      <c r="C395" s="58">
        <v>88</v>
      </c>
    </row>
    <row r="396" spans="1:3" x14ac:dyDescent="0.3">
      <c r="A396" t="s">
        <v>101</v>
      </c>
      <c r="B396" s="28">
        <v>43581</v>
      </c>
      <c r="C396" s="58">
        <v>44</v>
      </c>
    </row>
    <row r="397" spans="1:3" x14ac:dyDescent="0.3">
      <c r="A397" t="s">
        <v>101</v>
      </c>
      <c r="B397" s="28">
        <v>43609</v>
      </c>
      <c r="C397" s="58">
        <v>98</v>
      </c>
    </row>
    <row r="398" spans="1:3" x14ac:dyDescent="0.3">
      <c r="A398" t="s">
        <v>101</v>
      </c>
      <c r="B398" s="28">
        <v>43623</v>
      </c>
      <c r="C398" s="58">
        <v>98</v>
      </c>
    </row>
    <row r="399" spans="1:3" x14ac:dyDescent="0.3">
      <c r="A399" t="s">
        <v>101</v>
      </c>
      <c r="B399" s="28">
        <v>43637</v>
      </c>
      <c r="C399" s="58">
        <v>129.5</v>
      </c>
    </row>
    <row r="400" spans="1:3" x14ac:dyDescent="0.3">
      <c r="A400" t="s">
        <v>101</v>
      </c>
      <c r="B400" s="28">
        <v>43651</v>
      </c>
      <c r="C400" s="58">
        <v>118.5</v>
      </c>
    </row>
    <row r="401" spans="1:3" x14ac:dyDescent="0.3">
      <c r="A401" t="s">
        <v>101</v>
      </c>
      <c r="B401" s="28">
        <v>43665</v>
      </c>
      <c r="C401" s="58">
        <v>96</v>
      </c>
    </row>
    <row r="402" spans="1:3" x14ac:dyDescent="0.3">
      <c r="A402" t="s">
        <v>101</v>
      </c>
      <c r="B402" s="28">
        <v>43679</v>
      </c>
      <c r="C402" s="58">
        <v>124</v>
      </c>
    </row>
    <row r="403" spans="1:3" x14ac:dyDescent="0.3">
      <c r="A403" t="s">
        <v>101</v>
      </c>
      <c r="B403" s="28">
        <v>43693</v>
      </c>
      <c r="C403" s="58">
        <v>125.5</v>
      </c>
    </row>
    <row r="404" spans="1:3" x14ac:dyDescent="0.3">
      <c r="A404" t="s">
        <v>101</v>
      </c>
      <c r="B404" s="28">
        <v>43707</v>
      </c>
      <c r="C404" s="58">
        <v>137</v>
      </c>
    </row>
    <row r="405" spans="1:3" x14ac:dyDescent="0.3">
      <c r="A405" t="s">
        <v>101</v>
      </c>
      <c r="B405" s="28">
        <v>43721</v>
      </c>
      <c r="C405" s="58">
        <v>89.5</v>
      </c>
    </row>
    <row r="406" spans="1:3" x14ac:dyDescent="0.3">
      <c r="A406" t="s">
        <v>101</v>
      </c>
      <c r="B406" s="28">
        <v>43735</v>
      </c>
      <c r="C406" s="58">
        <v>126</v>
      </c>
    </row>
    <row r="407" spans="1:3" x14ac:dyDescent="0.3">
      <c r="A407" t="s">
        <v>101</v>
      </c>
      <c r="B407" s="28">
        <v>43749</v>
      </c>
      <c r="C407" s="58">
        <v>124.5</v>
      </c>
    </row>
    <row r="408" spans="1:3" x14ac:dyDescent="0.3">
      <c r="A408" t="s">
        <v>101</v>
      </c>
      <c r="B408" s="28">
        <v>43763</v>
      </c>
      <c r="C408" s="58">
        <v>95.5</v>
      </c>
    </row>
    <row r="409" spans="1:3" x14ac:dyDescent="0.3">
      <c r="A409" t="s">
        <v>101</v>
      </c>
      <c r="B409" s="28">
        <v>43777</v>
      </c>
      <c r="C409" s="58">
        <v>120.5</v>
      </c>
    </row>
    <row r="410" spans="1:3" x14ac:dyDescent="0.3">
      <c r="A410" t="s">
        <v>101</v>
      </c>
      <c r="B410" s="28">
        <v>43791</v>
      </c>
      <c r="C410" s="58">
        <v>89.5</v>
      </c>
    </row>
    <row r="411" spans="1:3" x14ac:dyDescent="0.3">
      <c r="A411" t="s">
        <v>102</v>
      </c>
      <c r="B411" s="28">
        <v>43589</v>
      </c>
      <c r="C411" s="58">
        <v>60</v>
      </c>
    </row>
    <row r="412" spans="1:3" x14ac:dyDescent="0.3">
      <c r="A412" t="s">
        <v>103</v>
      </c>
      <c r="B412" s="28">
        <v>44009</v>
      </c>
      <c r="C412" s="58">
        <v>88.5</v>
      </c>
    </row>
    <row r="413" spans="1:3" x14ac:dyDescent="0.3">
      <c r="A413" t="s">
        <v>103</v>
      </c>
      <c r="B413" s="28">
        <v>44023</v>
      </c>
      <c r="C413" s="58">
        <v>80.5</v>
      </c>
    </row>
    <row r="414" spans="1:3" x14ac:dyDescent="0.3">
      <c r="A414" t="s">
        <v>104</v>
      </c>
      <c r="B414" t="s">
        <v>77</v>
      </c>
      <c r="C414" s="58"/>
    </row>
    <row r="415" spans="1:3" x14ac:dyDescent="0.3">
      <c r="A415" t="s">
        <v>104</v>
      </c>
      <c r="B415" s="28">
        <v>43791</v>
      </c>
      <c r="C415" s="58">
        <v>140</v>
      </c>
    </row>
    <row r="416" spans="1:3" x14ac:dyDescent="0.3">
      <c r="A416" t="s">
        <v>104</v>
      </c>
      <c r="B416" s="28">
        <v>43805</v>
      </c>
      <c r="C416" s="58">
        <v>102.5</v>
      </c>
    </row>
    <row r="417" spans="1:3" x14ac:dyDescent="0.3">
      <c r="A417" t="s">
        <v>104</v>
      </c>
      <c r="B417" s="28">
        <v>43819</v>
      </c>
      <c r="C417" s="58">
        <v>85</v>
      </c>
    </row>
    <row r="418" spans="1:3" x14ac:dyDescent="0.3">
      <c r="A418" t="s">
        <v>104</v>
      </c>
      <c r="B418" s="28">
        <v>43833</v>
      </c>
      <c r="C418" s="58">
        <v>34</v>
      </c>
    </row>
    <row r="419" spans="1:3" x14ac:dyDescent="0.3">
      <c r="A419" t="s">
        <v>104</v>
      </c>
      <c r="B419" s="28">
        <v>43861</v>
      </c>
      <c r="C419" s="58">
        <v>72</v>
      </c>
    </row>
    <row r="420" spans="1:3" x14ac:dyDescent="0.3">
      <c r="A420" t="s">
        <v>104</v>
      </c>
      <c r="B420" s="28">
        <v>43875</v>
      </c>
      <c r="C420" s="58">
        <v>96.5</v>
      </c>
    </row>
    <row r="421" spans="1:3" x14ac:dyDescent="0.3">
      <c r="A421" t="s">
        <v>104</v>
      </c>
      <c r="B421" s="28">
        <v>43889</v>
      </c>
      <c r="C421" s="58">
        <v>85.5</v>
      </c>
    </row>
    <row r="422" spans="1:3" x14ac:dyDescent="0.3">
      <c r="A422" t="s">
        <v>104</v>
      </c>
      <c r="B422" s="28">
        <v>43903</v>
      </c>
      <c r="C422" s="58">
        <v>85</v>
      </c>
    </row>
    <row r="423" spans="1:3" x14ac:dyDescent="0.3">
      <c r="A423" t="s">
        <v>104</v>
      </c>
      <c r="B423" s="28">
        <v>43917</v>
      </c>
      <c r="C423" s="58">
        <v>35</v>
      </c>
    </row>
    <row r="424" spans="1:3" x14ac:dyDescent="0.3">
      <c r="A424" t="s">
        <v>53</v>
      </c>
      <c r="B424" t="s">
        <v>77</v>
      </c>
      <c r="C424" s="58"/>
    </row>
    <row r="425" spans="1:3" x14ac:dyDescent="0.3">
      <c r="A425" t="s">
        <v>53</v>
      </c>
      <c r="B425" s="28">
        <v>43875</v>
      </c>
      <c r="C425" s="58">
        <v>34</v>
      </c>
    </row>
    <row r="426" spans="1:3" x14ac:dyDescent="0.3">
      <c r="A426" t="s">
        <v>53</v>
      </c>
      <c r="B426" s="28">
        <v>43889</v>
      </c>
      <c r="C426" s="58">
        <v>95.5</v>
      </c>
    </row>
    <row r="427" spans="1:3" x14ac:dyDescent="0.3">
      <c r="A427" t="s">
        <v>53</v>
      </c>
      <c r="B427" s="28">
        <v>43903</v>
      </c>
      <c r="C427" s="58">
        <v>94.5</v>
      </c>
    </row>
    <row r="428" spans="1:3" x14ac:dyDescent="0.3">
      <c r="A428" t="s">
        <v>53</v>
      </c>
      <c r="B428" s="28">
        <v>43917</v>
      </c>
      <c r="C428" s="58">
        <v>84</v>
      </c>
    </row>
    <row r="429" spans="1:3" x14ac:dyDescent="0.3">
      <c r="A429" t="s">
        <v>53</v>
      </c>
      <c r="B429" s="28">
        <v>43931</v>
      </c>
      <c r="C429" s="58">
        <v>24</v>
      </c>
    </row>
    <row r="430" spans="1:3" x14ac:dyDescent="0.3">
      <c r="A430" t="s">
        <v>53</v>
      </c>
      <c r="B430" s="28">
        <v>43973</v>
      </c>
      <c r="C430" s="58">
        <v>40</v>
      </c>
    </row>
    <row r="431" spans="1:3" x14ac:dyDescent="0.3">
      <c r="A431" t="s">
        <v>53</v>
      </c>
      <c r="B431" s="28">
        <v>43987</v>
      </c>
      <c r="C431" s="58">
        <v>72</v>
      </c>
    </row>
    <row r="432" spans="1:3" x14ac:dyDescent="0.3">
      <c r="A432" t="s">
        <v>53</v>
      </c>
      <c r="B432" s="28">
        <v>43995</v>
      </c>
      <c r="C432" s="58">
        <v>80</v>
      </c>
    </row>
    <row r="433" spans="1:3" x14ac:dyDescent="0.3">
      <c r="A433" t="s">
        <v>53</v>
      </c>
      <c r="B433" s="28">
        <v>44009</v>
      </c>
      <c r="C433" s="58">
        <v>94</v>
      </c>
    </row>
    <row r="434" spans="1:3" x14ac:dyDescent="0.3">
      <c r="A434" t="s">
        <v>53</v>
      </c>
      <c r="B434" s="28">
        <v>44023</v>
      </c>
      <c r="C434" s="58">
        <v>106.5</v>
      </c>
    </row>
    <row r="435" spans="1:3" x14ac:dyDescent="0.3">
      <c r="A435" t="s">
        <v>105</v>
      </c>
      <c r="B435" t="s">
        <v>77</v>
      </c>
      <c r="C435" s="58"/>
    </row>
    <row r="436" spans="1:3" x14ac:dyDescent="0.3">
      <c r="A436" t="s">
        <v>105</v>
      </c>
      <c r="B436" s="28">
        <v>43407</v>
      </c>
      <c r="C436" s="58">
        <v>47</v>
      </c>
    </row>
    <row r="437" spans="1:3" x14ac:dyDescent="0.3">
      <c r="A437" t="s">
        <v>105</v>
      </c>
      <c r="B437" s="28">
        <v>43421</v>
      </c>
      <c r="C437" s="58">
        <v>125</v>
      </c>
    </row>
    <row r="438" spans="1:3" x14ac:dyDescent="0.3">
      <c r="A438" t="s">
        <v>105</v>
      </c>
      <c r="B438" s="28">
        <v>43463</v>
      </c>
      <c r="C438" s="58">
        <v>87.5</v>
      </c>
    </row>
    <row r="439" spans="1:3" x14ac:dyDescent="0.3">
      <c r="A439" t="s">
        <v>105</v>
      </c>
      <c r="B439" s="28">
        <v>43491</v>
      </c>
      <c r="C439" s="58">
        <v>121.5</v>
      </c>
    </row>
    <row r="440" spans="1:3" x14ac:dyDescent="0.3">
      <c r="A440" t="s">
        <v>105</v>
      </c>
      <c r="B440" s="28">
        <v>43505</v>
      </c>
      <c r="C440" s="58">
        <v>28</v>
      </c>
    </row>
    <row r="441" spans="1:3" x14ac:dyDescent="0.3">
      <c r="A441" t="s">
        <v>105</v>
      </c>
      <c r="B441" s="28">
        <v>43581</v>
      </c>
      <c r="C441" s="58">
        <v>59</v>
      </c>
    </row>
    <row r="442" spans="1:3" x14ac:dyDescent="0.3">
      <c r="A442" t="s">
        <v>105</v>
      </c>
      <c r="B442" s="28">
        <v>43595</v>
      </c>
      <c r="C442" s="58">
        <v>96.5</v>
      </c>
    </row>
    <row r="443" spans="1:3" x14ac:dyDescent="0.3">
      <c r="A443" t="s">
        <v>105</v>
      </c>
      <c r="B443" s="28">
        <v>43609</v>
      </c>
      <c r="C443" s="58">
        <v>86</v>
      </c>
    </row>
    <row r="444" spans="1:3" x14ac:dyDescent="0.3">
      <c r="A444" t="s">
        <v>105</v>
      </c>
      <c r="B444" s="28">
        <v>43623</v>
      </c>
      <c r="C444" s="58">
        <v>68</v>
      </c>
    </row>
    <row r="445" spans="1:3" x14ac:dyDescent="0.3">
      <c r="A445" t="s">
        <v>105</v>
      </c>
      <c r="B445" s="28">
        <v>43637</v>
      </c>
      <c r="C445" s="58">
        <v>151</v>
      </c>
    </row>
    <row r="446" spans="1:3" x14ac:dyDescent="0.3">
      <c r="A446" t="s">
        <v>105</v>
      </c>
      <c r="B446" s="28">
        <v>43651</v>
      </c>
      <c r="C446" s="58">
        <v>106.5</v>
      </c>
    </row>
    <row r="447" spans="1:3" x14ac:dyDescent="0.3">
      <c r="A447" t="s">
        <v>105</v>
      </c>
      <c r="B447" s="28">
        <v>43659</v>
      </c>
      <c r="C447" s="58">
        <v>91</v>
      </c>
    </row>
    <row r="448" spans="1:3" x14ac:dyDescent="0.3">
      <c r="A448" t="s">
        <v>105</v>
      </c>
      <c r="B448" s="28">
        <v>43674</v>
      </c>
      <c r="C448" s="58">
        <v>124</v>
      </c>
    </row>
    <row r="449" spans="1:3" x14ac:dyDescent="0.3">
      <c r="A449" t="s">
        <v>105</v>
      </c>
      <c r="B449" s="28">
        <v>43688</v>
      </c>
      <c r="C449" s="58">
        <v>123</v>
      </c>
    </row>
    <row r="450" spans="1:3" x14ac:dyDescent="0.3">
      <c r="A450" t="s">
        <v>105</v>
      </c>
      <c r="B450" s="28">
        <v>43701</v>
      </c>
      <c r="C450" s="58">
        <v>137</v>
      </c>
    </row>
    <row r="451" spans="1:3" x14ac:dyDescent="0.3">
      <c r="A451" t="s">
        <v>105</v>
      </c>
      <c r="B451" s="28">
        <v>43715</v>
      </c>
      <c r="C451" s="58">
        <v>107.5</v>
      </c>
    </row>
    <row r="452" spans="1:3" x14ac:dyDescent="0.3">
      <c r="A452" t="s">
        <v>105</v>
      </c>
      <c r="B452" s="28">
        <v>43729</v>
      </c>
      <c r="C452" s="58">
        <v>112</v>
      </c>
    </row>
    <row r="453" spans="1:3" x14ac:dyDescent="0.3">
      <c r="A453" t="s">
        <v>105</v>
      </c>
      <c r="B453" s="28">
        <v>43800</v>
      </c>
      <c r="C453" s="58">
        <v>61.5</v>
      </c>
    </row>
    <row r="454" spans="1:3" x14ac:dyDescent="0.3">
      <c r="A454" t="s">
        <v>105</v>
      </c>
      <c r="B454" s="28">
        <v>43814</v>
      </c>
      <c r="C454" s="58">
        <v>121</v>
      </c>
    </row>
    <row r="455" spans="1:3" x14ac:dyDescent="0.3">
      <c r="A455" t="s">
        <v>106</v>
      </c>
      <c r="B455" t="s">
        <v>77</v>
      </c>
      <c r="C455" s="58"/>
    </row>
    <row r="456" spans="1:3" x14ac:dyDescent="0.3">
      <c r="A456" t="s">
        <v>106</v>
      </c>
      <c r="B456" s="28">
        <v>43637</v>
      </c>
      <c r="C456" s="58">
        <v>75</v>
      </c>
    </row>
    <row r="457" spans="1:3" x14ac:dyDescent="0.3">
      <c r="A457" t="s">
        <v>54</v>
      </c>
      <c r="B457" t="s">
        <v>77</v>
      </c>
      <c r="C457" s="58"/>
    </row>
    <row r="458" spans="1:3" x14ac:dyDescent="0.3">
      <c r="A458" t="s">
        <v>54</v>
      </c>
      <c r="B458" s="28">
        <v>43735</v>
      </c>
      <c r="C458" s="58">
        <v>89.5</v>
      </c>
    </row>
    <row r="459" spans="1:3" x14ac:dyDescent="0.3">
      <c r="A459" t="s">
        <v>54</v>
      </c>
      <c r="B459" s="28">
        <v>43749</v>
      </c>
      <c r="C459" s="58">
        <v>110.5</v>
      </c>
    </row>
    <row r="460" spans="1:3" x14ac:dyDescent="0.3">
      <c r="A460" t="s">
        <v>54</v>
      </c>
      <c r="B460" s="28">
        <v>43763</v>
      </c>
      <c r="C460" s="58">
        <v>96</v>
      </c>
    </row>
    <row r="461" spans="1:3" x14ac:dyDescent="0.3">
      <c r="A461" t="s">
        <v>54</v>
      </c>
      <c r="B461" s="28">
        <v>43777</v>
      </c>
      <c r="C461" s="58">
        <v>124.5</v>
      </c>
    </row>
    <row r="462" spans="1:3" x14ac:dyDescent="0.3">
      <c r="A462" t="s">
        <v>54</v>
      </c>
      <c r="B462" s="28">
        <v>43791</v>
      </c>
      <c r="C462" s="58">
        <v>100</v>
      </c>
    </row>
    <row r="463" spans="1:3" x14ac:dyDescent="0.3">
      <c r="A463" t="s">
        <v>54</v>
      </c>
      <c r="B463" s="28">
        <v>43805</v>
      </c>
      <c r="C463" s="58">
        <v>76</v>
      </c>
    </row>
    <row r="464" spans="1:3" x14ac:dyDescent="0.3">
      <c r="A464" t="s">
        <v>54</v>
      </c>
      <c r="B464" s="28">
        <v>43819</v>
      </c>
      <c r="C464" s="58">
        <v>99.5</v>
      </c>
    </row>
    <row r="465" spans="1:3" x14ac:dyDescent="0.3">
      <c r="A465" t="s">
        <v>54</v>
      </c>
      <c r="B465" s="28">
        <v>43833</v>
      </c>
      <c r="C465" s="58">
        <v>88.5</v>
      </c>
    </row>
    <row r="466" spans="1:3" x14ac:dyDescent="0.3">
      <c r="A466" t="s">
        <v>54</v>
      </c>
      <c r="B466" s="28">
        <v>43847</v>
      </c>
      <c r="C466" s="58">
        <v>89.5</v>
      </c>
    </row>
    <row r="467" spans="1:3" x14ac:dyDescent="0.3">
      <c r="A467" t="s">
        <v>54</v>
      </c>
      <c r="B467" s="28">
        <v>43861</v>
      </c>
      <c r="C467" s="58">
        <v>102</v>
      </c>
    </row>
    <row r="468" spans="1:3" x14ac:dyDescent="0.3">
      <c r="A468" t="s">
        <v>54</v>
      </c>
      <c r="B468" s="28">
        <v>43875</v>
      </c>
      <c r="C468" s="58">
        <v>72</v>
      </c>
    </row>
    <row r="469" spans="1:3" x14ac:dyDescent="0.3">
      <c r="A469" t="s">
        <v>107</v>
      </c>
      <c r="B469" s="28">
        <v>43547</v>
      </c>
      <c r="C469" s="58">
        <v>93</v>
      </c>
    </row>
    <row r="470" spans="1:3" x14ac:dyDescent="0.3">
      <c r="A470" t="s">
        <v>108</v>
      </c>
      <c r="B470" s="28">
        <v>43505</v>
      </c>
      <c r="C470" s="58">
        <v>101</v>
      </c>
    </row>
    <row r="471" spans="1:3" x14ac:dyDescent="0.3">
      <c r="A471" t="s">
        <v>108</v>
      </c>
      <c r="B471" s="28">
        <v>43519</v>
      </c>
      <c r="C471" s="58">
        <v>89</v>
      </c>
    </row>
    <row r="472" spans="1:3" x14ac:dyDescent="0.3">
      <c r="A472" t="s">
        <v>108</v>
      </c>
      <c r="B472" s="28">
        <v>43533</v>
      </c>
      <c r="C472" s="58">
        <v>93.5</v>
      </c>
    </row>
    <row r="473" spans="1:3" x14ac:dyDescent="0.3">
      <c r="A473" t="s">
        <v>108</v>
      </c>
      <c r="B473" s="28">
        <v>43805</v>
      </c>
      <c r="C473" s="58">
        <v>58</v>
      </c>
    </row>
    <row r="474" spans="1:3" x14ac:dyDescent="0.3">
      <c r="A474" t="s">
        <v>108</v>
      </c>
      <c r="B474" s="28">
        <v>43819</v>
      </c>
      <c r="C474" s="58">
        <v>93.5</v>
      </c>
    </row>
    <row r="475" spans="1:3" x14ac:dyDescent="0.3">
      <c r="A475" t="s">
        <v>108</v>
      </c>
      <c r="B475" s="28">
        <v>43833</v>
      </c>
      <c r="C475" s="58">
        <v>88.5</v>
      </c>
    </row>
    <row r="476" spans="1:3" x14ac:dyDescent="0.3">
      <c r="A476" t="s">
        <v>108</v>
      </c>
      <c r="B476" s="28">
        <v>43847</v>
      </c>
      <c r="C476" s="58">
        <v>89</v>
      </c>
    </row>
    <row r="477" spans="1:3" x14ac:dyDescent="0.3">
      <c r="A477" t="s">
        <v>108</v>
      </c>
      <c r="B477" s="28">
        <v>43861</v>
      </c>
      <c r="C477" s="58">
        <v>101.5</v>
      </c>
    </row>
    <row r="478" spans="1:3" x14ac:dyDescent="0.3">
      <c r="A478" t="s">
        <v>108</v>
      </c>
      <c r="B478" s="28">
        <v>43875</v>
      </c>
      <c r="C478" s="58">
        <v>81</v>
      </c>
    </row>
    <row r="479" spans="1:3" x14ac:dyDescent="0.3">
      <c r="A479" t="s">
        <v>109</v>
      </c>
      <c r="B479" s="28">
        <v>43617</v>
      </c>
      <c r="C479" s="58">
        <v>65</v>
      </c>
    </row>
    <row r="480" spans="1:3" x14ac:dyDescent="0.3">
      <c r="A480" t="s">
        <v>55</v>
      </c>
      <c r="B480" t="s">
        <v>77</v>
      </c>
      <c r="C480" s="58">
        <v>0</v>
      </c>
    </row>
    <row r="481" spans="1:3" x14ac:dyDescent="0.3">
      <c r="A481" t="s">
        <v>55</v>
      </c>
      <c r="B481" s="28">
        <v>43441</v>
      </c>
      <c r="C481" s="58">
        <v>40</v>
      </c>
    </row>
    <row r="482" spans="1:3" x14ac:dyDescent="0.3">
      <c r="A482" t="s">
        <v>55</v>
      </c>
      <c r="B482" s="28">
        <v>43455</v>
      </c>
      <c r="C482" s="58">
        <v>95</v>
      </c>
    </row>
    <row r="483" spans="1:3" x14ac:dyDescent="0.3">
      <c r="A483" t="s">
        <v>55</v>
      </c>
      <c r="B483" s="28">
        <v>43469</v>
      </c>
      <c r="C483" s="58">
        <v>83</v>
      </c>
    </row>
    <row r="484" spans="1:3" x14ac:dyDescent="0.3">
      <c r="A484" t="s">
        <v>55</v>
      </c>
      <c r="B484" s="28">
        <v>43497</v>
      </c>
      <c r="C484" s="58">
        <v>106.5</v>
      </c>
    </row>
    <row r="485" spans="1:3" x14ac:dyDescent="0.3">
      <c r="A485" t="s">
        <v>55</v>
      </c>
      <c r="B485" s="28">
        <v>43553</v>
      </c>
      <c r="C485" s="58">
        <v>36</v>
      </c>
    </row>
    <row r="486" spans="1:3" x14ac:dyDescent="0.3">
      <c r="A486" t="s">
        <v>55</v>
      </c>
      <c r="B486" s="28">
        <v>43567</v>
      </c>
      <c r="C486" s="58">
        <v>88</v>
      </c>
    </row>
    <row r="487" spans="1:3" x14ac:dyDescent="0.3">
      <c r="A487" t="s">
        <v>55</v>
      </c>
      <c r="B487" s="28">
        <v>43581</v>
      </c>
      <c r="C487" s="58">
        <v>88</v>
      </c>
    </row>
    <row r="488" spans="1:3" x14ac:dyDescent="0.3">
      <c r="A488" t="s">
        <v>55</v>
      </c>
      <c r="B488" s="28">
        <v>43595</v>
      </c>
      <c r="C488" s="58">
        <v>44</v>
      </c>
    </row>
    <row r="489" spans="1:3" x14ac:dyDescent="0.3">
      <c r="A489" t="s">
        <v>55</v>
      </c>
      <c r="B489" s="28">
        <v>43637</v>
      </c>
      <c r="C489" s="58">
        <v>58</v>
      </c>
    </row>
    <row r="490" spans="1:3" x14ac:dyDescent="0.3">
      <c r="A490" t="s">
        <v>55</v>
      </c>
      <c r="B490" s="28">
        <v>43651</v>
      </c>
      <c r="C490" s="58">
        <v>85</v>
      </c>
    </row>
    <row r="491" spans="1:3" x14ac:dyDescent="0.3">
      <c r="A491" t="s">
        <v>55</v>
      </c>
      <c r="B491" s="28">
        <v>43665</v>
      </c>
      <c r="C491" s="58">
        <v>77</v>
      </c>
    </row>
    <row r="492" spans="1:3" x14ac:dyDescent="0.3">
      <c r="A492" t="s">
        <v>55</v>
      </c>
      <c r="B492" s="28">
        <v>43679</v>
      </c>
      <c r="C492" s="58">
        <v>103.5</v>
      </c>
    </row>
    <row r="493" spans="1:3" x14ac:dyDescent="0.3">
      <c r="A493" t="s">
        <v>55</v>
      </c>
      <c r="B493" s="28">
        <v>43693</v>
      </c>
      <c r="C493" s="58">
        <v>90.5</v>
      </c>
    </row>
    <row r="494" spans="1:3" x14ac:dyDescent="0.3">
      <c r="A494" t="s">
        <v>55</v>
      </c>
      <c r="B494" s="28">
        <v>43707</v>
      </c>
      <c r="C494" s="58">
        <v>101.5</v>
      </c>
    </row>
    <row r="495" spans="1:3" x14ac:dyDescent="0.3">
      <c r="A495" t="s">
        <v>55</v>
      </c>
      <c r="B495" s="28">
        <v>43721</v>
      </c>
      <c r="C495" s="58">
        <v>101.5</v>
      </c>
    </row>
    <row r="496" spans="1:3" x14ac:dyDescent="0.3">
      <c r="A496" t="s">
        <v>55</v>
      </c>
      <c r="B496" s="28">
        <v>43735</v>
      </c>
      <c r="C496" s="58">
        <v>117</v>
      </c>
    </row>
    <row r="497" spans="1:3" x14ac:dyDescent="0.3">
      <c r="A497" t="s">
        <v>55</v>
      </c>
      <c r="B497" s="28">
        <v>43749</v>
      </c>
      <c r="C497" s="58">
        <v>103.5</v>
      </c>
    </row>
    <row r="498" spans="1:3" x14ac:dyDescent="0.3">
      <c r="A498" t="s">
        <v>55</v>
      </c>
      <c r="B498" s="28">
        <v>43763</v>
      </c>
      <c r="C498" s="58">
        <v>87</v>
      </c>
    </row>
    <row r="499" spans="1:3" x14ac:dyDescent="0.3">
      <c r="A499" t="s">
        <v>55</v>
      </c>
      <c r="B499" s="28">
        <v>43777</v>
      </c>
      <c r="C499" s="58">
        <v>93</v>
      </c>
    </row>
    <row r="500" spans="1:3" x14ac:dyDescent="0.3">
      <c r="A500" t="s">
        <v>55</v>
      </c>
      <c r="B500" s="28">
        <v>43791</v>
      </c>
      <c r="C500" s="58">
        <v>91</v>
      </c>
    </row>
    <row r="501" spans="1:3" x14ac:dyDescent="0.3">
      <c r="A501" t="s">
        <v>55</v>
      </c>
      <c r="B501" s="28">
        <v>43805</v>
      </c>
      <c r="C501" s="58">
        <v>76</v>
      </c>
    </row>
    <row r="502" spans="1:3" x14ac:dyDescent="0.3">
      <c r="A502" t="s">
        <v>55</v>
      </c>
      <c r="B502" s="28">
        <v>43819</v>
      </c>
      <c r="C502" s="58">
        <v>93.5</v>
      </c>
    </row>
    <row r="503" spans="1:3" x14ac:dyDescent="0.3">
      <c r="A503" t="s">
        <v>55</v>
      </c>
      <c r="B503" s="28">
        <v>43833</v>
      </c>
      <c r="C503" s="58">
        <v>80.5</v>
      </c>
    </row>
    <row r="504" spans="1:3" x14ac:dyDescent="0.3">
      <c r="A504" t="s">
        <v>55</v>
      </c>
      <c r="B504" s="28">
        <v>43847</v>
      </c>
      <c r="C504" s="58">
        <v>83.5</v>
      </c>
    </row>
    <row r="505" spans="1:3" x14ac:dyDescent="0.3">
      <c r="A505" t="s">
        <v>55</v>
      </c>
      <c r="B505" s="28">
        <v>43861</v>
      </c>
      <c r="C505" s="58">
        <v>94</v>
      </c>
    </row>
    <row r="506" spans="1:3" x14ac:dyDescent="0.3">
      <c r="A506" t="s">
        <v>55</v>
      </c>
      <c r="B506" s="28">
        <v>43875</v>
      </c>
      <c r="C506" s="58">
        <v>85.5</v>
      </c>
    </row>
    <row r="507" spans="1:3" x14ac:dyDescent="0.3">
      <c r="A507" t="s">
        <v>55</v>
      </c>
      <c r="B507" s="28">
        <v>43889</v>
      </c>
      <c r="C507" s="58">
        <v>98</v>
      </c>
    </row>
    <row r="508" spans="1:3" x14ac:dyDescent="0.3">
      <c r="A508" t="s">
        <v>55</v>
      </c>
      <c r="B508" s="28">
        <v>43903</v>
      </c>
      <c r="C508" s="58">
        <v>80</v>
      </c>
    </row>
    <row r="509" spans="1:3" x14ac:dyDescent="0.3">
      <c r="A509" t="s">
        <v>55</v>
      </c>
      <c r="B509" s="28">
        <v>43917</v>
      </c>
      <c r="C509" s="58">
        <v>79</v>
      </c>
    </row>
    <row r="510" spans="1:3" x14ac:dyDescent="0.3">
      <c r="A510" t="s">
        <v>55</v>
      </c>
      <c r="B510" s="28">
        <v>43931</v>
      </c>
      <c r="C510" s="58">
        <v>24</v>
      </c>
    </row>
    <row r="511" spans="1:3" x14ac:dyDescent="0.3">
      <c r="A511" t="s">
        <v>55</v>
      </c>
      <c r="B511" s="28">
        <v>43973</v>
      </c>
      <c r="C511" s="58">
        <v>16</v>
      </c>
    </row>
    <row r="512" spans="1:3" x14ac:dyDescent="0.3">
      <c r="A512" t="s">
        <v>55</v>
      </c>
      <c r="B512" s="28">
        <v>43987</v>
      </c>
      <c r="C512" s="58">
        <v>72</v>
      </c>
    </row>
    <row r="513" spans="1:3" x14ac:dyDescent="0.3">
      <c r="A513" t="s">
        <v>55</v>
      </c>
      <c r="B513" s="28">
        <v>43995</v>
      </c>
      <c r="C513" s="58">
        <v>0</v>
      </c>
    </row>
    <row r="514" spans="1:3" x14ac:dyDescent="0.3">
      <c r="A514" t="s">
        <v>110</v>
      </c>
      <c r="B514" s="28">
        <v>43855</v>
      </c>
      <c r="C514" s="58">
        <v>66.5</v>
      </c>
    </row>
    <row r="515" spans="1:3" x14ac:dyDescent="0.3">
      <c r="A515" t="s">
        <v>110</v>
      </c>
      <c r="B515" s="28">
        <v>43869</v>
      </c>
      <c r="C515" s="58">
        <v>97</v>
      </c>
    </row>
    <row r="516" spans="1:3" x14ac:dyDescent="0.3">
      <c r="A516" t="s">
        <v>110</v>
      </c>
      <c r="B516" s="28">
        <v>43883</v>
      </c>
      <c r="C516" s="58">
        <v>102.5</v>
      </c>
    </row>
    <row r="517" spans="1:3" x14ac:dyDescent="0.3">
      <c r="A517" t="s">
        <v>110</v>
      </c>
      <c r="B517" s="28">
        <v>43897</v>
      </c>
      <c r="C517" s="58">
        <v>81</v>
      </c>
    </row>
    <row r="518" spans="1:3" x14ac:dyDescent="0.3">
      <c r="A518" t="s">
        <v>110</v>
      </c>
      <c r="B518" s="28">
        <v>43911</v>
      </c>
      <c r="C518" s="58">
        <v>79</v>
      </c>
    </row>
    <row r="519" spans="1:3" x14ac:dyDescent="0.3">
      <c r="A519" t="s">
        <v>56</v>
      </c>
      <c r="B519" t="s">
        <v>77</v>
      </c>
      <c r="C519" s="58"/>
    </row>
    <row r="520" spans="1:3" x14ac:dyDescent="0.3">
      <c r="A520" t="s">
        <v>56</v>
      </c>
      <c r="B520" s="28">
        <v>43491</v>
      </c>
      <c r="C520" s="58">
        <v>36.5</v>
      </c>
    </row>
    <row r="521" spans="1:3" x14ac:dyDescent="0.3">
      <c r="A521" t="s">
        <v>56</v>
      </c>
      <c r="B521" s="28">
        <v>43511</v>
      </c>
      <c r="C521" s="58">
        <v>101</v>
      </c>
    </row>
    <row r="522" spans="1:3" x14ac:dyDescent="0.3">
      <c r="A522" t="s">
        <v>56</v>
      </c>
      <c r="B522" s="28">
        <v>43523</v>
      </c>
      <c r="C522" s="58">
        <v>80</v>
      </c>
    </row>
    <row r="523" spans="1:3" x14ac:dyDescent="0.3">
      <c r="A523" t="s">
        <v>56</v>
      </c>
      <c r="B523" s="28">
        <v>43539</v>
      </c>
      <c r="C523" s="58">
        <v>93.5</v>
      </c>
    </row>
    <row r="524" spans="1:3" x14ac:dyDescent="0.3">
      <c r="A524" t="s">
        <v>56</v>
      </c>
      <c r="B524" s="28">
        <v>43553</v>
      </c>
      <c r="C524" s="58">
        <v>63</v>
      </c>
    </row>
    <row r="525" spans="1:3" x14ac:dyDescent="0.3">
      <c r="A525" t="s">
        <v>56</v>
      </c>
      <c r="B525" s="28">
        <v>43819</v>
      </c>
      <c r="C525" s="58">
        <v>99.5</v>
      </c>
    </row>
    <row r="526" spans="1:3" x14ac:dyDescent="0.3">
      <c r="A526" t="s">
        <v>56</v>
      </c>
      <c r="B526" s="28">
        <v>43833</v>
      </c>
      <c r="C526" s="58">
        <v>88</v>
      </c>
    </row>
    <row r="527" spans="1:3" x14ac:dyDescent="0.3">
      <c r="A527" t="s">
        <v>56</v>
      </c>
      <c r="B527" s="28">
        <v>43847</v>
      </c>
      <c r="C527" s="58">
        <v>79</v>
      </c>
    </row>
    <row r="528" spans="1:3" x14ac:dyDescent="0.3">
      <c r="A528" t="s">
        <v>56</v>
      </c>
      <c r="B528" s="28">
        <v>43861</v>
      </c>
      <c r="C528" s="58">
        <v>100</v>
      </c>
    </row>
    <row r="529" spans="1:3" x14ac:dyDescent="0.3">
      <c r="A529" t="s">
        <v>56</v>
      </c>
      <c r="B529" s="28">
        <v>43875</v>
      </c>
      <c r="C529" s="58">
        <v>93.5</v>
      </c>
    </row>
    <row r="530" spans="1:3" x14ac:dyDescent="0.3">
      <c r="A530" t="s">
        <v>56</v>
      </c>
      <c r="B530" s="28">
        <v>43889</v>
      </c>
      <c r="C530" s="58">
        <v>101</v>
      </c>
    </row>
    <row r="531" spans="1:3" x14ac:dyDescent="0.3">
      <c r="A531" t="s">
        <v>56</v>
      </c>
      <c r="B531" s="28">
        <v>43903</v>
      </c>
      <c r="C531" s="58">
        <v>85.5</v>
      </c>
    </row>
    <row r="532" spans="1:3" x14ac:dyDescent="0.3">
      <c r="A532" t="s">
        <v>56</v>
      </c>
      <c r="B532" s="28">
        <v>43917</v>
      </c>
      <c r="C532" s="58">
        <v>84</v>
      </c>
    </row>
    <row r="533" spans="1:3" x14ac:dyDescent="0.3">
      <c r="A533" t="s">
        <v>56</v>
      </c>
      <c r="B533" s="28">
        <v>43931</v>
      </c>
      <c r="C533" s="58">
        <v>24</v>
      </c>
    </row>
    <row r="534" spans="1:3" x14ac:dyDescent="0.3">
      <c r="A534" t="s">
        <v>56</v>
      </c>
      <c r="B534" s="28">
        <v>43987</v>
      </c>
      <c r="C534" s="58">
        <v>87.5</v>
      </c>
    </row>
    <row r="535" spans="1:3" x14ac:dyDescent="0.3">
      <c r="A535" t="s">
        <v>56</v>
      </c>
      <c r="B535" s="28">
        <v>43995</v>
      </c>
      <c r="C535" s="58">
        <v>48</v>
      </c>
    </row>
    <row r="536" spans="1:3" x14ac:dyDescent="0.3">
      <c r="A536" t="s">
        <v>56</v>
      </c>
      <c r="B536" s="28">
        <v>44009</v>
      </c>
      <c r="C536" s="58">
        <v>80.5</v>
      </c>
    </row>
    <row r="537" spans="1:3" x14ac:dyDescent="0.3">
      <c r="A537" t="s">
        <v>56</v>
      </c>
      <c r="B537" s="28">
        <v>44023</v>
      </c>
      <c r="C537" s="58">
        <v>80</v>
      </c>
    </row>
    <row r="538" spans="1:3" x14ac:dyDescent="0.3">
      <c r="A538" t="s">
        <v>111</v>
      </c>
      <c r="B538" s="28">
        <v>44009</v>
      </c>
      <c r="C538" s="58">
        <v>83.5</v>
      </c>
    </row>
    <row r="539" spans="1:3" x14ac:dyDescent="0.3">
      <c r="A539" t="s">
        <v>111</v>
      </c>
      <c r="B539" s="28">
        <v>44023</v>
      </c>
      <c r="C539" s="58">
        <v>106.5</v>
      </c>
    </row>
    <row r="540" spans="1:3" x14ac:dyDescent="0.3">
      <c r="A540" t="s">
        <v>112</v>
      </c>
      <c r="B540" s="28">
        <v>43924</v>
      </c>
      <c r="C540" s="58">
        <v>24</v>
      </c>
    </row>
    <row r="541" spans="1:3" x14ac:dyDescent="0.3">
      <c r="A541" t="s">
        <v>113</v>
      </c>
      <c r="B541" t="s">
        <v>77</v>
      </c>
      <c r="C541" s="58"/>
    </row>
    <row r="542" spans="1:3" x14ac:dyDescent="0.3">
      <c r="A542" t="s">
        <v>114</v>
      </c>
      <c r="B542" s="28">
        <v>43497</v>
      </c>
      <c r="C542" s="58">
        <v>36.5</v>
      </c>
    </row>
    <row r="543" spans="1:3" x14ac:dyDescent="0.3">
      <c r="A543" t="s">
        <v>114</v>
      </c>
      <c r="B543" s="28">
        <v>43511</v>
      </c>
      <c r="C543" s="58">
        <v>99.5</v>
      </c>
    </row>
    <row r="544" spans="1:3" x14ac:dyDescent="0.3">
      <c r="A544" t="s">
        <v>114</v>
      </c>
      <c r="B544" s="28">
        <v>43525</v>
      </c>
      <c r="C544" s="58">
        <v>90</v>
      </c>
    </row>
    <row r="545" spans="1:3" x14ac:dyDescent="0.3">
      <c r="A545" t="s">
        <v>114</v>
      </c>
      <c r="B545" s="28">
        <v>43539</v>
      </c>
      <c r="C545" s="58">
        <v>93.5</v>
      </c>
    </row>
    <row r="546" spans="1:3" x14ac:dyDescent="0.3">
      <c r="A546" t="s">
        <v>114</v>
      </c>
      <c r="B546" s="28">
        <v>43553</v>
      </c>
      <c r="C546" s="58">
        <v>37</v>
      </c>
    </row>
    <row r="547" spans="1:3" x14ac:dyDescent="0.3">
      <c r="A547" t="s">
        <v>114</v>
      </c>
      <c r="B547" s="28">
        <v>43581</v>
      </c>
      <c r="C547" s="58">
        <v>88</v>
      </c>
    </row>
    <row r="548" spans="1:3" x14ac:dyDescent="0.3">
      <c r="A548" t="s">
        <v>114</v>
      </c>
      <c r="B548" s="28">
        <v>43595</v>
      </c>
      <c r="C548" s="58">
        <v>92</v>
      </c>
    </row>
    <row r="549" spans="1:3" x14ac:dyDescent="0.3">
      <c r="A549" t="s">
        <v>114</v>
      </c>
      <c r="B549" s="28">
        <v>43609</v>
      </c>
      <c r="C549" s="58">
        <v>103.5</v>
      </c>
    </row>
    <row r="550" spans="1:3" x14ac:dyDescent="0.3">
      <c r="A550" t="s">
        <v>114</v>
      </c>
      <c r="B550" s="28">
        <v>43623</v>
      </c>
      <c r="C550" s="58">
        <v>89.5</v>
      </c>
    </row>
    <row r="551" spans="1:3" x14ac:dyDescent="0.3">
      <c r="A551" t="s">
        <v>114</v>
      </c>
      <c r="B551" s="28">
        <v>43637</v>
      </c>
      <c r="C551" s="58">
        <v>105.5</v>
      </c>
    </row>
    <row r="552" spans="1:3" x14ac:dyDescent="0.3">
      <c r="A552" t="s">
        <v>114</v>
      </c>
      <c r="B552" s="28">
        <v>43651</v>
      </c>
      <c r="C552" s="58">
        <v>85</v>
      </c>
    </row>
    <row r="553" spans="1:3" x14ac:dyDescent="0.3">
      <c r="A553" t="s">
        <v>114</v>
      </c>
      <c r="B553" s="28">
        <v>43665</v>
      </c>
      <c r="C553" s="58">
        <v>81</v>
      </c>
    </row>
    <row r="554" spans="1:3" x14ac:dyDescent="0.3">
      <c r="A554" t="s">
        <v>114</v>
      </c>
      <c r="B554" s="28">
        <v>43679</v>
      </c>
      <c r="C554" s="58">
        <v>100.5</v>
      </c>
    </row>
    <row r="555" spans="1:3" x14ac:dyDescent="0.3">
      <c r="A555" t="s">
        <v>114</v>
      </c>
      <c r="B555" s="28">
        <v>43693</v>
      </c>
      <c r="C555" s="58">
        <v>97</v>
      </c>
    </row>
    <row r="556" spans="1:3" x14ac:dyDescent="0.3">
      <c r="A556" t="s">
        <v>114</v>
      </c>
      <c r="B556" s="28">
        <v>43707</v>
      </c>
      <c r="C556" s="58">
        <v>113.5</v>
      </c>
    </row>
    <row r="557" spans="1:3" x14ac:dyDescent="0.3">
      <c r="A557" t="s">
        <v>114</v>
      </c>
      <c r="B557" s="28">
        <v>43721</v>
      </c>
      <c r="C557" s="58">
        <v>97</v>
      </c>
    </row>
    <row r="558" spans="1:3" x14ac:dyDescent="0.3">
      <c r="A558" t="s">
        <v>57</v>
      </c>
      <c r="B558" t="s">
        <v>77</v>
      </c>
      <c r="C558" s="58"/>
    </row>
    <row r="559" spans="1:3" x14ac:dyDescent="0.3">
      <c r="A559" t="s">
        <v>57</v>
      </c>
      <c r="B559" s="28">
        <v>43875</v>
      </c>
      <c r="C559" s="58">
        <v>78</v>
      </c>
    </row>
    <row r="560" spans="1:3" x14ac:dyDescent="0.3">
      <c r="A560" t="s">
        <v>57</v>
      </c>
      <c r="B560" s="28">
        <v>43889</v>
      </c>
      <c r="C560" s="58">
        <v>101.5</v>
      </c>
    </row>
    <row r="561" spans="1:3" x14ac:dyDescent="0.3">
      <c r="A561" t="s">
        <v>57</v>
      </c>
      <c r="B561" s="28">
        <v>43903</v>
      </c>
      <c r="C561" s="58">
        <v>96.5</v>
      </c>
    </row>
    <row r="562" spans="1:3" x14ac:dyDescent="0.3">
      <c r="A562" t="s">
        <v>57</v>
      </c>
      <c r="B562" s="28">
        <v>43917</v>
      </c>
      <c r="C562" s="58">
        <v>84</v>
      </c>
    </row>
    <row r="563" spans="1:3" x14ac:dyDescent="0.3">
      <c r="A563" t="s">
        <v>57</v>
      </c>
      <c r="B563" s="28">
        <v>43931</v>
      </c>
      <c r="C563" s="58">
        <v>16</v>
      </c>
    </row>
    <row r="564" spans="1:3" x14ac:dyDescent="0.3">
      <c r="A564" t="s">
        <v>57</v>
      </c>
      <c r="B564" s="28">
        <v>43973</v>
      </c>
      <c r="C564" s="58">
        <v>40</v>
      </c>
    </row>
    <row r="565" spans="1:3" x14ac:dyDescent="0.3">
      <c r="A565" t="s">
        <v>57</v>
      </c>
      <c r="B565" s="28">
        <v>43987</v>
      </c>
      <c r="C565" s="58">
        <v>72.5</v>
      </c>
    </row>
    <row r="566" spans="1:3" x14ac:dyDescent="0.3">
      <c r="A566" t="s">
        <v>57</v>
      </c>
      <c r="B566" s="28">
        <v>43995</v>
      </c>
      <c r="C566" s="58">
        <v>80</v>
      </c>
    </row>
    <row r="567" spans="1:3" x14ac:dyDescent="0.3">
      <c r="A567" t="s">
        <v>57</v>
      </c>
      <c r="B567" s="28">
        <v>44009</v>
      </c>
      <c r="C567" s="58">
        <v>91.5</v>
      </c>
    </row>
    <row r="568" spans="1:3" x14ac:dyDescent="0.3">
      <c r="A568" t="s">
        <v>57</v>
      </c>
      <c r="B568" s="28">
        <v>44023</v>
      </c>
      <c r="C568" s="58">
        <v>101.5</v>
      </c>
    </row>
    <row r="569" spans="1:3" x14ac:dyDescent="0.3">
      <c r="A569" t="s">
        <v>115</v>
      </c>
      <c r="B569" t="s">
        <v>77</v>
      </c>
      <c r="C569" s="58"/>
    </row>
    <row r="570" spans="1:3" x14ac:dyDescent="0.3">
      <c r="A570" t="s">
        <v>116</v>
      </c>
      <c r="B570" s="28">
        <v>43490</v>
      </c>
      <c r="C570" s="58">
        <v>62</v>
      </c>
    </row>
    <row r="571" spans="1:3" x14ac:dyDescent="0.3">
      <c r="A571" t="s">
        <v>116</v>
      </c>
      <c r="B571" s="28">
        <v>43785</v>
      </c>
      <c r="C571" s="58">
        <v>12</v>
      </c>
    </row>
    <row r="572" spans="1:3" x14ac:dyDescent="0.3">
      <c r="A572" t="s">
        <v>116</v>
      </c>
      <c r="B572" s="28">
        <v>43799</v>
      </c>
      <c r="C572" s="58">
        <v>82</v>
      </c>
    </row>
    <row r="573" spans="1:3" x14ac:dyDescent="0.3">
      <c r="A573" t="s">
        <v>116</v>
      </c>
      <c r="B573" s="28">
        <v>43813</v>
      </c>
      <c r="C573" s="58">
        <v>88.5</v>
      </c>
    </row>
    <row r="574" spans="1:3" x14ac:dyDescent="0.3">
      <c r="A574" t="s">
        <v>116</v>
      </c>
      <c r="B574" s="28">
        <v>43827</v>
      </c>
      <c r="C574" s="58">
        <v>67.5</v>
      </c>
    </row>
    <row r="575" spans="1:3" x14ac:dyDescent="0.3">
      <c r="A575" t="s">
        <v>116</v>
      </c>
      <c r="B575" s="28">
        <v>43841</v>
      </c>
      <c r="C575" s="58">
        <v>79.5</v>
      </c>
    </row>
    <row r="576" spans="1:3" x14ac:dyDescent="0.3">
      <c r="A576" t="s">
        <v>116</v>
      </c>
      <c r="B576" s="28">
        <v>43869</v>
      </c>
      <c r="C576" s="58">
        <v>97</v>
      </c>
    </row>
    <row r="577" spans="1:3" x14ac:dyDescent="0.3">
      <c r="A577" t="s">
        <v>116</v>
      </c>
      <c r="B577" s="28">
        <v>43883</v>
      </c>
      <c r="C577" s="58">
        <v>102.5</v>
      </c>
    </row>
    <row r="578" spans="1:3" x14ac:dyDescent="0.3">
      <c r="A578" t="s">
        <v>58</v>
      </c>
      <c r="B578" t="s">
        <v>77</v>
      </c>
      <c r="C578" s="58"/>
    </row>
    <row r="579" spans="1:3" x14ac:dyDescent="0.3">
      <c r="A579" t="s">
        <v>58</v>
      </c>
      <c r="B579" s="28">
        <v>43154</v>
      </c>
      <c r="C579" s="58">
        <v>36</v>
      </c>
    </row>
    <row r="580" spans="1:3" x14ac:dyDescent="0.3">
      <c r="A580" t="s">
        <v>58</v>
      </c>
      <c r="B580" s="28">
        <v>43169</v>
      </c>
      <c r="C580" s="58">
        <v>53</v>
      </c>
    </row>
    <row r="581" spans="1:3" x14ac:dyDescent="0.3">
      <c r="A581" t="s">
        <v>58</v>
      </c>
      <c r="B581" s="28">
        <v>43197</v>
      </c>
      <c r="C581" s="58">
        <v>106</v>
      </c>
    </row>
    <row r="582" spans="1:3" x14ac:dyDescent="0.3">
      <c r="A582" t="s">
        <v>58</v>
      </c>
      <c r="B582" s="28">
        <v>43211</v>
      </c>
      <c r="C582" s="58">
        <v>106</v>
      </c>
    </row>
    <row r="583" spans="1:3" x14ac:dyDescent="0.3">
      <c r="A583" t="s">
        <v>58</v>
      </c>
      <c r="B583" s="28">
        <v>43225</v>
      </c>
      <c r="C583" s="58">
        <v>106</v>
      </c>
    </row>
    <row r="584" spans="1:3" x14ac:dyDescent="0.3">
      <c r="A584" t="s">
        <v>58</v>
      </c>
      <c r="B584" s="28">
        <v>43239</v>
      </c>
      <c r="C584" s="58">
        <v>93</v>
      </c>
    </row>
    <row r="585" spans="1:3" x14ac:dyDescent="0.3">
      <c r="A585" t="s">
        <v>58</v>
      </c>
      <c r="B585" s="28">
        <v>43253</v>
      </c>
      <c r="C585" s="58">
        <v>92</v>
      </c>
    </row>
    <row r="586" spans="1:3" x14ac:dyDescent="0.3">
      <c r="A586" t="s">
        <v>58</v>
      </c>
      <c r="B586" s="28">
        <v>43267</v>
      </c>
      <c r="C586" s="58">
        <v>106</v>
      </c>
    </row>
    <row r="587" spans="1:3" x14ac:dyDescent="0.3">
      <c r="A587" t="s">
        <v>58</v>
      </c>
      <c r="B587" s="28">
        <v>43281</v>
      </c>
      <c r="C587" s="58">
        <v>103</v>
      </c>
    </row>
    <row r="588" spans="1:3" x14ac:dyDescent="0.3">
      <c r="A588" t="s">
        <v>58</v>
      </c>
      <c r="B588" s="28">
        <v>43295</v>
      </c>
      <c r="C588" s="58">
        <v>72</v>
      </c>
    </row>
    <row r="589" spans="1:3" x14ac:dyDescent="0.3">
      <c r="A589" t="s">
        <v>58</v>
      </c>
      <c r="B589" s="28">
        <v>43309</v>
      </c>
      <c r="C589" s="58">
        <v>87</v>
      </c>
    </row>
    <row r="590" spans="1:3" x14ac:dyDescent="0.3">
      <c r="A590" t="s">
        <v>58</v>
      </c>
      <c r="B590" s="28">
        <v>43323</v>
      </c>
      <c r="C590" s="58">
        <v>89</v>
      </c>
    </row>
    <row r="591" spans="1:3" x14ac:dyDescent="0.3">
      <c r="A591" t="s">
        <v>58</v>
      </c>
      <c r="B591" s="28">
        <v>43337</v>
      </c>
      <c r="C591" s="58">
        <v>45</v>
      </c>
    </row>
    <row r="592" spans="1:3" x14ac:dyDescent="0.3">
      <c r="A592" t="s">
        <v>58</v>
      </c>
      <c r="B592" s="28">
        <v>43351</v>
      </c>
      <c r="C592" s="58">
        <v>83</v>
      </c>
    </row>
    <row r="593" spans="1:3" x14ac:dyDescent="0.3">
      <c r="A593" t="s">
        <v>58</v>
      </c>
      <c r="B593" s="28">
        <v>43365</v>
      </c>
      <c r="C593" s="58">
        <v>111.5</v>
      </c>
    </row>
    <row r="594" spans="1:3" x14ac:dyDescent="0.3">
      <c r="A594" t="s">
        <v>58</v>
      </c>
      <c r="B594" s="28">
        <v>43379</v>
      </c>
      <c r="C594" s="58">
        <v>99.75</v>
      </c>
    </row>
    <row r="595" spans="1:3" x14ac:dyDescent="0.3">
      <c r="A595" t="s">
        <v>58</v>
      </c>
      <c r="B595" s="28">
        <v>43393</v>
      </c>
      <c r="C595" s="58">
        <v>116</v>
      </c>
    </row>
    <row r="596" spans="1:3" x14ac:dyDescent="0.3">
      <c r="A596" t="s">
        <v>58</v>
      </c>
      <c r="B596" s="28">
        <v>43407</v>
      </c>
      <c r="C596" s="58">
        <v>103</v>
      </c>
    </row>
    <row r="597" spans="1:3" x14ac:dyDescent="0.3">
      <c r="A597" t="s">
        <v>58</v>
      </c>
      <c r="B597" s="28">
        <v>43421</v>
      </c>
      <c r="C597" s="58">
        <v>96</v>
      </c>
    </row>
    <row r="598" spans="1:3" x14ac:dyDescent="0.3">
      <c r="A598" t="s">
        <v>58</v>
      </c>
      <c r="B598" s="28">
        <v>43435</v>
      </c>
      <c r="C598" s="58">
        <v>24</v>
      </c>
    </row>
    <row r="599" spans="1:3" x14ac:dyDescent="0.3">
      <c r="A599" t="s">
        <v>58</v>
      </c>
      <c r="B599" s="28">
        <v>43497</v>
      </c>
      <c r="C599" s="58">
        <v>113.5</v>
      </c>
    </row>
    <row r="600" spans="1:3" x14ac:dyDescent="0.3">
      <c r="A600" t="s">
        <v>58</v>
      </c>
      <c r="B600" s="28">
        <v>43511</v>
      </c>
      <c r="C600" s="58">
        <v>99.5</v>
      </c>
    </row>
    <row r="601" spans="1:3" x14ac:dyDescent="0.3">
      <c r="A601" t="s">
        <v>58</v>
      </c>
      <c r="B601" s="28">
        <v>43523</v>
      </c>
      <c r="C601" s="58">
        <v>90.5</v>
      </c>
    </row>
    <row r="602" spans="1:3" x14ac:dyDescent="0.3">
      <c r="A602" t="s">
        <v>58</v>
      </c>
      <c r="B602" s="28">
        <v>43539</v>
      </c>
      <c r="C602" s="58">
        <v>36</v>
      </c>
    </row>
    <row r="603" spans="1:3" x14ac:dyDescent="0.3">
      <c r="A603" t="s">
        <v>58</v>
      </c>
      <c r="B603" s="28">
        <v>43553</v>
      </c>
      <c r="C603" s="58">
        <v>91</v>
      </c>
    </row>
    <row r="604" spans="1:3" x14ac:dyDescent="0.3">
      <c r="A604" t="s">
        <v>58</v>
      </c>
      <c r="B604" s="28">
        <v>43567</v>
      </c>
      <c r="C604" s="58">
        <v>84</v>
      </c>
    </row>
    <row r="605" spans="1:3" x14ac:dyDescent="0.3">
      <c r="A605" t="s">
        <v>58</v>
      </c>
      <c r="B605" s="28">
        <v>43903</v>
      </c>
      <c r="C605" s="58">
        <v>40</v>
      </c>
    </row>
    <row r="606" spans="1:3" x14ac:dyDescent="0.3">
      <c r="A606" t="s">
        <v>58</v>
      </c>
      <c r="B606" s="28">
        <v>43917</v>
      </c>
      <c r="C606" s="58">
        <v>86</v>
      </c>
    </row>
    <row r="607" spans="1:3" x14ac:dyDescent="0.3">
      <c r="A607" t="s">
        <v>58</v>
      </c>
      <c r="B607" s="28">
        <v>43931</v>
      </c>
      <c r="C607" s="58">
        <v>16</v>
      </c>
    </row>
    <row r="608" spans="1:3" x14ac:dyDescent="0.3">
      <c r="A608" t="s">
        <v>58</v>
      </c>
      <c r="B608" s="28">
        <v>43987</v>
      </c>
      <c r="C608" s="58">
        <v>87.5</v>
      </c>
    </row>
    <row r="609" spans="1:3" x14ac:dyDescent="0.3">
      <c r="A609" t="s">
        <v>59</v>
      </c>
      <c r="B609" t="s">
        <v>77</v>
      </c>
      <c r="C609" s="58"/>
    </row>
    <row r="610" spans="1:3" x14ac:dyDescent="0.3">
      <c r="A610" t="s">
        <v>59</v>
      </c>
      <c r="B610" s="28">
        <v>43497</v>
      </c>
      <c r="C610" s="58">
        <v>119.5</v>
      </c>
    </row>
    <row r="611" spans="1:3" x14ac:dyDescent="0.3">
      <c r="A611" t="s">
        <v>59</v>
      </c>
      <c r="B611" s="28">
        <v>43511</v>
      </c>
      <c r="C611" s="58">
        <v>102.5</v>
      </c>
    </row>
    <row r="612" spans="1:3" x14ac:dyDescent="0.3">
      <c r="A612" t="s">
        <v>59</v>
      </c>
      <c r="B612" s="28">
        <v>43523</v>
      </c>
      <c r="C612" s="58">
        <v>84</v>
      </c>
    </row>
    <row r="613" spans="1:3" x14ac:dyDescent="0.3">
      <c r="A613" t="s">
        <v>59</v>
      </c>
      <c r="B613" s="28">
        <v>43539</v>
      </c>
      <c r="C613" s="58">
        <v>93.5</v>
      </c>
    </row>
    <row r="614" spans="1:3" x14ac:dyDescent="0.3">
      <c r="A614" t="s">
        <v>59</v>
      </c>
      <c r="B614" s="28">
        <v>43553</v>
      </c>
      <c r="C614" s="58">
        <v>91</v>
      </c>
    </row>
    <row r="615" spans="1:3" x14ac:dyDescent="0.3">
      <c r="A615" t="s">
        <v>59</v>
      </c>
      <c r="B615" s="28">
        <v>43567</v>
      </c>
      <c r="C615" s="58">
        <v>88</v>
      </c>
    </row>
    <row r="616" spans="1:3" x14ac:dyDescent="0.3">
      <c r="A616" t="s">
        <v>59</v>
      </c>
      <c r="B616" s="28">
        <v>43581</v>
      </c>
      <c r="C616" s="58">
        <v>84</v>
      </c>
    </row>
    <row r="617" spans="1:3" x14ac:dyDescent="0.3">
      <c r="A617" t="s">
        <v>59</v>
      </c>
      <c r="B617" s="28">
        <v>43595</v>
      </c>
      <c r="C617" s="58">
        <v>92</v>
      </c>
    </row>
    <row r="618" spans="1:3" x14ac:dyDescent="0.3">
      <c r="A618" t="s">
        <v>59</v>
      </c>
      <c r="B618" s="28">
        <v>43609</v>
      </c>
      <c r="C618" s="58">
        <v>104.5</v>
      </c>
    </row>
    <row r="619" spans="1:3" x14ac:dyDescent="0.3">
      <c r="A619" t="s">
        <v>59</v>
      </c>
      <c r="B619" s="28">
        <v>43623</v>
      </c>
      <c r="C619" s="58">
        <v>89.5</v>
      </c>
    </row>
    <row r="620" spans="1:3" x14ac:dyDescent="0.3">
      <c r="A620" t="s">
        <v>59</v>
      </c>
      <c r="B620" s="28">
        <v>43651</v>
      </c>
      <c r="C620" s="58">
        <v>77</v>
      </c>
    </row>
    <row r="621" spans="1:3" x14ac:dyDescent="0.3">
      <c r="A621" t="s">
        <v>59</v>
      </c>
      <c r="B621" s="28">
        <v>43665</v>
      </c>
      <c r="C621" s="58">
        <v>77</v>
      </c>
    </row>
    <row r="622" spans="1:3" x14ac:dyDescent="0.3">
      <c r="A622" t="s">
        <v>59</v>
      </c>
      <c r="B622" s="28">
        <v>43679</v>
      </c>
      <c r="C622" s="58">
        <v>98</v>
      </c>
    </row>
    <row r="623" spans="1:3" x14ac:dyDescent="0.3">
      <c r="A623" t="s">
        <v>59</v>
      </c>
      <c r="B623" s="28">
        <v>43693</v>
      </c>
      <c r="C623" s="58">
        <v>111.5</v>
      </c>
    </row>
    <row r="624" spans="1:3" x14ac:dyDescent="0.3">
      <c r="A624" t="s">
        <v>59</v>
      </c>
      <c r="B624" s="28">
        <v>43707</v>
      </c>
      <c r="C624" s="58">
        <v>98.5</v>
      </c>
    </row>
    <row r="625" spans="1:3" x14ac:dyDescent="0.3">
      <c r="A625" t="s">
        <v>59</v>
      </c>
      <c r="B625" s="28">
        <v>43721</v>
      </c>
      <c r="C625" s="58">
        <v>89</v>
      </c>
    </row>
    <row r="626" spans="1:3" x14ac:dyDescent="0.3">
      <c r="A626" t="s">
        <v>59</v>
      </c>
      <c r="B626" s="28">
        <v>43735</v>
      </c>
      <c r="C626" s="58">
        <v>106.5</v>
      </c>
    </row>
    <row r="627" spans="1:3" x14ac:dyDescent="0.3">
      <c r="A627" t="s">
        <v>59</v>
      </c>
      <c r="B627" s="28">
        <v>43749</v>
      </c>
      <c r="C627" s="58">
        <v>102</v>
      </c>
    </row>
    <row r="628" spans="1:3" x14ac:dyDescent="0.3">
      <c r="A628" t="s">
        <v>59</v>
      </c>
      <c r="B628" s="28">
        <v>43763</v>
      </c>
      <c r="C628" s="58">
        <v>87</v>
      </c>
    </row>
    <row r="629" spans="1:3" x14ac:dyDescent="0.3">
      <c r="A629" t="s">
        <v>59</v>
      </c>
      <c r="B629" s="28">
        <v>43777</v>
      </c>
      <c r="C629" s="58">
        <v>96.5</v>
      </c>
    </row>
    <row r="630" spans="1:3" x14ac:dyDescent="0.3">
      <c r="A630" t="s">
        <v>59</v>
      </c>
      <c r="B630" s="28">
        <v>43791</v>
      </c>
      <c r="C630" s="58">
        <v>87</v>
      </c>
    </row>
    <row r="631" spans="1:3" x14ac:dyDescent="0.3">
      <c r="A631" t="s">
        <v>59</v>
      </c>
      <c r="B631" s="28">
        <v>43805</v>
      </c>
      <c r="C631" s="58">
        <v>76</v>
      </c>
    </row>
    <row r="632" spans="1:3" x14ac:dyDescent="0.3">
      <c r="A632" t="s">
        <v>59</v>
      </c>
      <c r="B632" s="28">
        <v>43819</v>
      </c>
      <c r="C632" s="58">
        <v>88</v>
      </c>
    </row>
    <row r="633" spans="1:3" x14ac:dyDescent="0.3">
      <c r="A633" t="s">
        <v>59</v>
      </c>
      <c r="B633" s="28">
        <v>43833</v>
      </c>
      <c r="C633" s="58">
        <v>81</v>
      </c>
    </row>
    <row r="634" spans="1:3" x14ac:dyDescent="0.3">
      <c r="A634" t="s">
        <v>59</v>
      </c>
      <c r="B634" s="28">
        <v>43847</v>
      </c>
      <c r="C634" s="58">
        <v>83.5</v>
      </c>
    </row>
    <row r="635" spans="1:3" x14ac:dyDescent="0.3">
      <c r="A635" t="s">
        <v>59</v>
      </c>
      <c r="B635" s="28">
        <v>43861</v>
      </c>
      <c r="C635" s="58">
        <v>94.5</v>
      </c>
    </row>
    <row r="636" spans="1:3" x14ac:dyDescent="0.3">
      <c r="A636" t="s">
        <v>59</v>
      </c>
      <c r="B636" s="28">
        <v>43875</v>
      </c>
      <c r="C636" s="58">
        <v>87.5</v>
      </c>
    </row>
    <row r="637" spans="1:3" x14ac:dyDescent="0.3">
      <c r="A637" t="s">
        <v>59</v>
      </c>
      <c r="B637" s="28">
        <v>43889</v>
      </c>
      <c r="C637" s="58">
        <v>77</v>
      </c>
    </row>
    <row r="638" spans="1:3" x14ac:dyDescent="0.3">
      <c r="A638" t="s">
        <v>59</v>
      </c>
      <c r="B638" s="28">
        <v>43903</v>
      </c>
      <c r="C638" s="58">
        <v>89</v>
      </c>
    </row>
    <row r="639" spans="1:3" x14ac:dyDescent="0.3">
      <c r="A639" t="s">
        <v>59</v>
      </c>
      <c r="B639" s="28">
        <v>43917</v>
      </c>
      <c r="C639" s="58">
        <v>79</v>
      </c>
    </row>
    <row r="640" spans="1:3" x14ac:dyDescent="0.3">
      <c r="A640" t="s">
        <v>59</v>
      </c>
      <c r="B640" s="28">
        <v>43931</v>
      </c>
      <c r="C640" s="58">
        <v>24</v>
      </c>
    </row>
    <row r="641" spans="1:3" x14ac:dyDescent="0.3">
      <c r="A641" t="s">
        <v>59</v>
      </c>
      <c r="B641" s="28">
        <v>43973</v>
      </c>
      <c r="C641" s="58">
        <v>16</v>
      </c>
    </row>
    <row r="642" spans="1:3" x14ac:dyDescent="0.3">
      <c r="A642" t="s">
        <v>59</v>
      </c>
      <c r="B642" s="28">
        <v>43987</v>
      </c>
      <c r="C642" s="58">
        <v>72</v>
      </c>
    </row>
    <row r="643" spans="1:3" x14ac:dyDescent="0.3">
      <c r="A643" t="s">
        <v>59</v>
      </c>
      <c r="B643" s="28">
        <v>43995</v>
      </c>
      <c r="C643" s="58">
        <v>48</v>
      </c>
    </row>
    <row r="644" spans="1:3" x14ac:dyDescent="0.3">
      <c r="A644" t="s">
        <v>117</v>
      </c>
      <c r="B644" t="s">
        <v>77</v>
      </c>
      <c r="C644" s="58"/>
    </row>
    <row r="645" spans="1:3" x14ac:dyDescent="0.3">
      <c r="A645" t="s">
        <v>117</v>
      </c>
      <c r="B645" s="28">
        <v>43441</v>
      </c>
      <c r="C645" s="58">
        <v>40</v>
      </c>
    </row>
    <row r="646" spans="1:3" x14ac:dyDescent="0.3">
      <c r="A646" t="s">
        <v>117</v>
      </c>
      <c r="B646" s="28">
        <v>43455</v>
      </c>
      <c r="C646" s="58">
        <v>96</v>
      </c>
    </row>
    <row r="647" spans="1:3" x14ac:dyDescent="0.3">
      <c r="A647" t="s">
        <v>117</v>
      </c>
      <c r="B647" s="28">
        <v>43469</v>
      </c>
      <c r="C647" s="58">
        <v>83</v>
      </c>
    </row>
    <row r="648" spans="1:3" x14ac:dyDescent="0.3">
      <c r="A648" t="s">
        <v>117</v>
      </c>
      <c r="B648" s="28">
        <v>43497</v>
      </c>
      <c r="C648" s="58">
        <v>101</v>
      </c>
    </row>
    <row r="649" spans="1:3" x14ac:dyDescent="0.3">
      <c r="A649" t="s">
        <v>117</v>
      </c>
      <c r="B649" s="28">
        <v>43553</v>
      </c>
      <c r="C649" s="58">
        <v>28</v>
      </c>
    </row>
    <row r="650" spans="1:3" x14ac:dyDescent="0.3">
      <c r="A650" t="s">
        <v>117</v>
      </c>
      <c r="B650" s="28">
        <v>43567</v>
      </c>
      <c r="C650" s="58">
        <v>88</v>
      </c>
    </row>
    <row r="651" spans="1:3" x14ac:dyDescent="0.3">
      <c r="A651" t="s">
        <v>117</v>
      </c>
      <c r="B651" s="28">
        <v>43581</v>
      </c>
      <c r="C651" s="58">
        <v>88</v>
      </c>
    </row>
    <row r="652" spans="1:3" x14ac:dyDescent="0.3">
      <c r="A652" t="s">
        <v>117</v>
      </c>
      <c r="B652" s="28">
        <v>43595</v>
      </c>
      <c r="C652" s="58">
        <v>36</v>
      </c>
    </row>
    <row r="653" spans="1:3" x14ac:dyDescent="0.3">
      <c r="A653" t="s">
        <v>117</v>
      </c>
      <c r="B653" s="28">
        <v>43637</v>
      </c>
      <c r="C653" s="58">
        <v>51</v>
      </c>
    </row>
    <row r="654" spans="1:3" x14ac:dyDescent="0.3">
      <c r="A654" t="s">
        <v>117</v>
      </c>
      <c r="B654" s="28">
        <v>43651</v>
      </c>
      <c r="C654" s="58">
        <v>85.5</v>
      </c>
    </row>
    <row r="655" spans="1:3" x14ac:dyDescent="0.3">
      <c r="A655" t="s">
        <v>60</v>
      </c>
      <c r="B655" t="s">
        <v>77</v>
      </c>
      <c r="C655" s="58"/>
    </row>
    <row r="656" spans="1:3" x14ac:dyDescent="0.3">
      <c r="A656" t="s">
        <v>60</v>
      </c>
      <c r="B656" s="28">
        <v>43721</v>
      </c>
      <c r="C656" s="58">
        <v>34.5</v>
      </c>
    </row>
    <row r="657" spans="1:3" x14ac:dyDescent="0.3">
      <c r="A657" t="s">
        <v>60</v>
      </c>
      <c r="B657" s="28">
        <v>43735</v>
      </c>
      <c r="C657" s="58">
        <v>109</v>
      </c>
    </row>
    <row r="658" spans="1:3" x14ac:dyDescent="0.3">
      <c r="A658" t="s">
        <v>60</v>
      </c>
      <c r="B658" s="28">
        <v>43749</v>
      </c>
      <c r="C658" s="58">
        <v>112.5</v>
      </c>
    </row>
    <row r="659" spans="1:3" x14ac:dyDescent="0.3">
      <c r="A659" t="s">
        <v>60</v>
      </c>
      <c r="B659" s="28">
        <v>43763</v>
      </c>
      <c r="C659" s="58">
        <v>95</v>
      </c>
    </row>
    <row r="660" spans="1:3" x14ac:dyDescent="0.3">
      <c r="A660" t="s">
        <v>60</v>
      </c>
      <c r="B660" s="28">
        <v>43777</v>
      </c>
      <c r="C660" s="58">
        <v>105</v>
      </c>
    </row>
    <row r="661" spans="1:3" x14ac:dyDescent="0.3">
      <c r="A661" t="s">
        <v>60</v>
      </c>
      <c r="B661" s="28">
        <v>43791</v>
      </c>
      <c r="C661" s="58">
        <v>100.5</v>
      </c>
    </row>
    <row r="662" spans="1:3" x14ac:dyDescent="0.3">
      <c r="A662" t="s">
        <v>60</v>
      </c>
      <c r="B662" s="28">
        <v>43805</v>
      </c>
      <c r="C662" s="58">
        <v>77</v>
      </c>
    </row>
    <row r="663" spans="1:3" x14ac:dyDescent="0.3">
      <c r="A663" t="s">
        <v>60</v>
      </c>
      <c r="B663" s="28">
        <v>43816</v>
      </c>
      <c r="C663" s="58">
        <v>98.5</v>
      </c>
    </row>
    <row r="664" spans="1:3" x14ac:dyDescent="0.3">
      <c r="A664" t="s">
        <v>60</v>
      </c>
      <c r="B664" s="28">
        <v>43833</v>
      </c>
      <c r="C664" s="58">
        <v>36</v>
      </c>
    </row>
    <row r="665" spans="1:3" x14ac:dyDescent="0.3">
      <c r="A665" t="s">
        <v>60</v>
      </c>
      <c r="B665" s="28">
        <v>43861</v>
      </c>
      <c r="C665" s="58">
        <v>76</v>
      </c>
    </row>
    <row r="666" spans="1:3" x14ac:dyDescent="0.3">
      <c r="A666" t="s">
        <v>60</v>
      </c>
      <c r="B666" s="28">
        <v>43875</v>
      </c>
      <c r="C666" s="58">
        <v>96</v>
      </c>
    </row>
    <row r="667" spans="1:3" x14ac:dyDescent="0.3">
      <c r="A667" t="s">
        <v>60</v>
      </c>
      <c r="B667" s="28">
        <v>43889</v>
      </c>
      <c r="C667" s="58">
        <v>98</v>
      </c>
    </row>
    <row r="668" spans="1:3" x14ac:dyDescent="0.3">
      <c r="A668" t="s">
        <v>60</v>
      </c>
      <c r="B668" s="28">
        <v>43903</v>
      </c>
      <c r="C668" s="58">
        <v>59</v>
      </c>
    </row>
    <row r="669" spans="1:3" x14ac:dyDescent="0.3">
      <c r="A669" t="s">
        <v>60</v>
      </c>
      <c r="B669" s="28">
        <v>43917</v>
      </c>
      <c r="C669" s="58">
        <v>84</v>
      </c>
    </row>
    <row r="670" spans="1:3" x14ac:dyDescent="0.3">
      <c r="A670" t="s">
        <v>60</v>
      </c>
      <c r="B670" s="28">
        <v>43931</v>
      </c>
      <c r="C670" s="58">
        <v>24</v>
      </c>
    </row>
    <row r="671" spans="1:3" x14ac:dyDescent="0.3">
      <c r="A671" t="s">
        <v>60</v>
      </c>
      <c r="B671" s="28">
        <v>43973</v>
      </c>
      <c r="C671" s="58">
        <v>40</v>
      </c>
    </row>
    <row r="672" spans="1:3" x14ac:dyDescent="0.3">
      <c r="A672" t="s">
        <v>60</v>
      </c>
      <c r="B672" s="28">
        <v>43987</v>
      </c>
      <c r="C672" s="58">
        <v>72.5</v>
      </c>
    </row>
    <row r="673" spans="1:3" x14ac:dyDescent="0.3">
      <c r="A673" t="s">
        <v>60</v>
      </c>
      <c r="B673" s="28">
        <v>43995</v>
      </c>
      <c r="C673" s="58">
        <v>80</v>
      </c>
    </row>
    <row r="674" spans="1:3" x14ac:dyDescent="0.3">
      <c r="A674" t="s">
        <v>60</v>
      </c>
      <c r="B674" s="28">
        <v>44009</v>
      </c>
      <c r="C674" s="58">
        <v>94</v>
      </c>
    </row>
    <row r="675" spans="1:3" x14ac:dyDescent="0.3">
      <c r="A675" t="s">
        <v>60</v>
      </c>
      <c r="B675" s="28">
        <v>44023</v>
      </c>
      <c r="C675" s="58">
        <v>96</v>
      </c>
    </row>
    <row r="676" spans="1:3" x14ac:dyDescent="0.3">
      <c r="A676" t="s">
        <v>61</v>
      </c>
      <c r="B676" t="s">
        <v>77</v>
      </c>
      <c r="C676" s="58"/>
    </row>
    <row r="677" spans="1:3" x14ac:dyDescent="0.3">
      <c r="A677" t="s">
        <v>61</v>
      </c>
      <c r="B677" s="28">
        <v>43623</v>
      </c>
      <c r="C677" s="58">
        <v>51</v>
      </c>
    </row>
    <row r="678" spans="1:3" x14ac:dyDescent="0.3">
      <c r="A678" t="s">
        <v>61</v>
      </c>
      <c r="B678" s="28">
        <v>43637</v>
      </c>
      <c r="C678" s="58">
        <v>120.5</v>
      </c>
    </row>
    <row r="679" spans="1:3" x14ac:dyDescent="0.3">
      <c r="A679" t="s">
        <v>61</v>
      </c>
      <c r="B679" s="28">
        <v>43651</v>
      </c>
      <c r="C679" s="58">
        <v>26</v>
      </c>
    </row>
    <row r="680" spans="1:3" x14ac:dyDescent="0.3">
      <c r="A680" t="s">
        <v>61</v>
      </c>
      <c r="B680" s="28">
        <v>43665</v>
      </c>
      <c r="C680" s="58">
        <v>68.5</v>
      </c>
    </row>
    <row r="681" spans="1:3" x14ac:dyDescent="0.3">
      <c r="A681" t="s">
        <v>61</v>
      </c>
      <c r="B681" s="28">
        <v>43679</v>
      </c>
      <c r="C681" s="58">
        <v>110</v>
      </c>
    </row>
    <row r="682" spans="1:3" x14ac:dyDescent="0.3">
      <c r="A682" t="s">
        <v>61</v>
      </c>
      <c r="B682" s="28">
        <v>43693</v>
      </c>
      <c r="C682" s="58">
        <v>101.5</v>
      </c>
    </row>
    <row r="683" spans="1:3" x14ac:dyDescent="0.3">
      <c r="A683" t="s">
        <v>61</v>
      </c>
      <c r="B683" s="28">
        <v>43707</v>
      </c>
      <c r="C683" s="58">
        <v>134</v>
      </c>
    </row>
    <row r="684" spans="1:3" x14ac:dyDescent="0.3">
      <c r="A684" t="s">
        <v>61</v>
      </c>
      <c r="B684" s="28">
        <v>43721</v>
      </c>
      <c r="C684" s="58">
        <v>93.5</v>
      </c>
    </row>
    <row r="685" spans="1:3" x14ac:dyDescent="0.3">
      <c r="A685" t="s">
        <v>61</v>
      </c>
      <c r="B685" s="28">
        <v>43735</v>
      </c>
      <c r="C685" s="58">
        <v>118</v>
      </c>
    </row>
    <row r="686" spans="1:3" x14ac:dyDescent="0.3">
      <c r="A686" t="s">
        <v>61</v>
      </c>
      <c r="B686" s="28">
        <v>43749</v>
      </c>
      <c r="C686" s="58">
        <v>130</v>
      </c>
    </row>
    <row r="687" spans="1:3" x14ac:dyDescent="0.3">
      <c r="A687" t="s">
        <v>61</v>
      </c>
      <c r="B687" s="28">
        <v>43763</v>
      </c>
      <c r="C687" s="58">
        <v>95</v>
      </c>
    </row>
    <row r="688" spans="1:3" x14ac:dyDescent="0.3">
      <c r="A688" t="s">
        <v>61</v>
      </c>
      <c r="B688" s="28">
        <v>43777</v>
      </c>
      <c r="C688" s="58">
        <v>120</v>
      </c>
    </row>
    <row r="689" spans="1:3" x14ac:dyDescent="0.3">
      <c r="A689" t="s">
        <v>61</v>
      </c>
      <c r="B689" s="28">
        <v>43791</v>
      </c>
      <c r="C689" s="58">
        <v>73</v>
      </c>
    </row>
    <row r="690" spans="1:3" x14ac:dyDescent="0.3">
      <c r="A690" t="s">
        <v>61</v>
      </c>
      <c r="B690" s="28">
        <v>43805</v>
      </c>
      <c r="C690" s="58">
        <v>86</v>
      </c>
    </row>
    <row r="691" spans="1:3" x14ac:dyDescent="0.3">
      <c r="A691" t="s">
        <v>61</v>
      </c>
      <c r="B691" s="28">
        <v>43819</v>
      </c>
      <c r="C691" s="58">
        <v>115.5</v>
      </c>
    </row>
    <row r="692" spans="1:3" x14ac:dyDescent="0.3">
      <c r="A692" t="s">
        <v>61</v>
      </c>
      <c r="B692" s="28">
        <v>43833</v>
      </c>
      <c r="C692" s="58">
        <v>88.5</v>
      </c>
    </row>
    <row r="693" spans="1:3" x14ac:dyDescent="0.3">
      <c r="A693" t="s">
        <v>61</v>
      </c>
      <c r="B693" s="28">
        <v>43847</v>
      </c>
      <c r="C693" s="58">
        <v>52.5</v>
      </c>
    </row>
    <row r="694" spans="1:3" x14ac:dyDescent="0.3">
      <c r="A694" t="s">
        <v>61</v>
      </c>
      <c r="B694" s="28">
        <v>43861</v>
      </c>
      <c r="C694" s="58">
        <v>121</v>
      </c>
    </row>
    <row r="695" spans="1:3" x14ac:dyDescent="0.3">
      <c r="A695" t="s">
        <v>61</v>
      </c>
      <c r="B695" s="28">
        <v>43875</v>
      </c>
      <c r="C695" s="58">
        <v>95.5</v>
      </c>
    </row>
    <row r="696" spans="1:3" x14ac:dyDescent="0.3">
      <c r="A696" t="s">
        <v>61</v>
      </c>
      <c r="B696" s="28">
        <v>43889</v>
      </c>
      <c r="C696" s="58">
        <v>121.5</v>
      </c>
    </row>
    <row r="697" spans="1:3" x14ac:dyDescent="0.3">
      <c r="A697" t="s">
        <v>61</v>
      </c>
      <c r="B697" s="28">
        <v>43903</v>
      </c>
      <c r="C697" s="58">
        <v>82.5</v>
      </c>
    </row>
    <row r="698" spans="1:3" x14ac:dyDescent="0.3">
      <c r="A698" t="s">
        <v>61</v>
      </c>
      <c r="B698" s="28">
        <v>43917</v>
      </c>
      <c r="C698" s="58">
        <v>87</v>
      </c>
    </row>
    <row r="699" spans="1:3" x14ac:dyDescent="0.3">
      <c r="A699" t="s">
        <v>61</v>
      </c>
      <c r="B699" s="28">
        <v>43931</v>
      </c>
      <c r="C699" s="58">
        <v>16</v>
      </c>
    </row>
    <row r="700" spans="1:3" x14ac:dyDescent="0.3">
      <c r="A700" t="s">
        <v>61</v>
      </c>
      <c r="B700" s="28">
        <v>43973</v>
      </c>
      <c r="C700" s="58">
        <v>56</v>
      </c>
    </row>
    <row r="701" spans="1:3" x14ac:dyDescent="0.3">
      <c r="A701" t="s">
        <v>61</v>
      </c>
      <c r="B701" s="28">
        <v>43987</v>
      </c>
      <c r="C701" s="58">
        <v>110.5</v>
      </c>
    </row>
    <row r="702" spans="1:3" x14ac:dyDescent="0.3">
      <c r="A702" t="s">
        <v>61</v>
      </c>
      <c r="B702" s="28">
        <v>43995</v>
      </c>
      <c r="C702" s="58">
        <v>87</v>
      </c>
    </row>
    <row r="703" spans="1:3" x14ac:dyDescent="0.3">
      <c r="A703" t="s">
        <v>61</v>
      </c>
      <c r="B703" s="28">
        <v>44009</v>
      </c>
      <c r="C703" s="58">
        <v>93</v>
      </c>
    </row>
    <row r="704" spans="1:3" x14ac:dyDescent="0.3">
      <c r="A704" t="s">
        <v>61</v>
      </c>
      <c r="B704" s="28">
        <v>44023</v>
      </c>
      <c r="C704" s="58">
        <v>75</v>
      </c>
    </row>
    <row r="705" spans="1:3" x14ac:dyDescent="0.3">
      <c r="A705" t="s">
        <v>62</v>
      </c>
      <c r="B705" t="s">
        <v>77</v>
      </c>
      <c r="C705" s="58"/>
    </row>
    <row r="706" spans="1:3" x14ac:dyDescent="0.3">
      <c r="A706" t="s">
        <v>62</v>
      </c>
      <c r="B706" s="28">
        <v>43903</v>
      </c>
      <c r="C706" s="58">
        <v>40</v>
      </c>
    </row>
    <row r="707" spans="1:3" x14ac:dyDescent="0.3">
      <c r="A707" t="s">
        <v>62</v>
      </c>
      <c r="B707" s="28">
        <v>43917</v>
      </c>
      <c r="C707" s="58">
        <v>84</v>
      </c>
    </row>
    <row r="708" spans="1:3" x14ac:dyDescent="0.3">
      <c r="A708" t="s">
        <v>62</v>
      </c>
      <c r="B708" s="28">
        <v>43931</v>
      </c>
      <c r="C708" s="58">
        <v>24</v>
      </c>
    </row>
    <row r="709" spans="1:3" x14ac:dyDescent="0.3">
      <c r="A709" t="s">
        <v>62</v>
      </c>
      <c r="B709" s="28">
        <v>43987</v>
      </c>
      <c r="C709" s="58">
        <v>48</v>
      </c>
    </row>
    <row r="710" spans="1:3" x14ac:dyDescent="0.3">
      <c r="A710" t="s">
        <v>62</v>
      </c>
      <c r="B710" s="28">
        <v>44009</v>
      </c>
      <c r="C710" s="58">
        <v>89</v>
      </c>
    </row>
    <row r="711" spans="1:3" x14ac:dyDescent="0.3">
      <c r="A711" t="s">
        <v>62</v>
      </c>
      <c r="B711" s="28">
        <v>44023</v>
      </c>
      <c r="C711" s="58">
        <v>106.5</v>
      </c>
    </row>
    <row r="712" spans="1:3" x14ac:dyDescent="0.3">
      <c r="A712" t="s">
        <v>118</v>
      </c>
      <c r="B712" t="s">
        <v>77</v>
      </c>
      <c r="C712" s="58">
        <v>0</v>
      </c>
    </row>
    <row r="713" spans="1:3" x14ac:dyDescent="0.3">
      <c r="A713" t="s">
        <v>118</v>
      </c>
      <c r="B713" s="28">
        <v>43749</v>
      </c>
      <c r="C713" s="58">
        <v>121</v>
      </c>
    </row>
    <row r="714" spans="1:3" x14ac:dyDescent="0.3">
      <c r="A714" t="s">
        <v>119</v>
      </c>
      <c r="B714" s="28">
        <v>43253</v>
      </c>
      <c r="C714" s="58">
        <v>44</v>
      </c>
    </row>
    <row r="715" spans="1:3" x14ac:dyDescent="0.3">
      <c r="A715" t="s">
        <v>119</v>
      </c>
      <c r="B715" s="28">
        <v>43267</v>
      </c>
      <c r="C715" s="58">
        <v>106</v>
      </c>
    </row>
    <row r="716" spans="1:3" x14ac:dyDescent="0.3">
      <c r="A716" t="s">
        <v>119</v>
      </c>
      <c r="B716" s="28">
        <v>43281</v>
      </c>
      <c r="C716" s="58">
        <v>103</v>
      </c>
    </row>
    <row r="717" spans="1:3" x14ac:dyDescent="0.3">
      <c r="A717" t="s">
        <v>119</v>
      </c>
      <c r="B717" s="28">
        <v>43295</v>
      </c>
      <c r="C717" s="58">
        <v>72</v>
      </c>
    </row>
    <row r="718" spans="1:3" x14ac:dyDescent="0.3">
      <c r="A718" t="s">
        <v>119</v>
      </c>
      <c r="B718" s="28">
        <v>43309</v>
      </c>
      <c r="C718" s="58">
        <v>87</v>
      </c>
    </row>
    <row r="719" spans="1:3" x14ac:dyDescent="0.3">
      <c r="A719" t="s">
        <v>119</v>
      </c>
      <c r="B719" s="28">
        <v>43323</v>
      </c>
      <c r="C719" s="58">
        <v>89</v>
      </c>
    </row>
    <row r="720" spans="1:3" x14ac:dyDescent="0.3">
      <c r="A720" t="s">
        <v>119</v>
      </c>
      <c r="B720" s="28">
        <v>43337</v>
      </c>
      <c r="C720" s="58">
        <v>95</v>
      </c>
    </row>
    <row r="721" spans="1:3" x14ac:dyDescent="0.3">
      <c r="A721" t="s">
        <v>119</v>
      </c>
      <c r="B721" s="28">
        <v>43351</v>
      </c>
      <c r="C721" s="58">
        <v>83</v>
      </c>
    </row>
    <row r="722" spans="1:3" x14ac:dyDescent="0.3">
      <c r="A722" t="s">
        <v>119</v>
      </c>
      <c r="B722" s="28">
        <v>43365</v>
      </c>
      <c r="C722" s="58">
        <v>111</v>
      </c>
    </row>
    <row r="723" spans="1:3" x14ac:dyDescent="0.3">
      <c r="A723" t="s">
        <v>119</v>
      </c>
      <c r="B723" s="28">
        <v>43379</v>
      </c>
      <c r="C723" s="58">
        <v>99.75</v>
      </c>
    </row>
    <row r="724" spans="1:3" x14ac:dyDescent="0.3">
      <c r="A724" t="s">
        <v>119</v>
      </c>
      <c r="B724" s="28">
        <v>43393</v>
      </c>
      <c r="C724" s="58">
        <v>114</v>
      </c>
    </row>
    <row r="725" spans="1:3" x14ac:dyDescent="0.3">
      <c r="A725" t="s">
        <v>119</v>
      </c>
      <c r="B725" s="28">
        <v>43407</v>
      </c>
      <c r="C725" s="58">
        <v>53</v>
      </c>
    </row>
    <row r="726" spans="1:3" x14ac:dyDescent="0.3">
      <c r="A726" t="s">
        <v>120</v>
      </c>
      <c r="B726" s="28">
        <v>43407</v>
      </c>
      <c r="C726" s="58">
        <v>47</v>
      </c>
    </row>
    <row r="727" spans="1:3" x14ac:dyDescent="0.3">
      <c r="A727" t="s">
        <v>120</v>
      </c>
      <c r="B727" s="28">
        <v>43421</v>
      </c>
      <c r="C727" s="58">
        <v>130</v>
      </c>
    </row>
    <row r="728" spans="1:3" x14ac:dyDescent="0.3">
      <c r="A728" t="s">
        <v>120</v>
      </c>
      <c r="B728" s="28">
        <v>43435</v>
      </c>
      <c r="C728" s="58">
        <v>77.5</v>
      </c>
    </row>
    <row r="729" spans="1:3" x14ac:dyDescent="0.3">
      <c r="A729" t="s">
        <v>120</v>
      </c>
      <c r="B729" s="28">
        <v>43463</v>
      </c>
      <c r="C729" s="58">
        <v>94.5</v>
      </c>
    </row>
    <row r="730" spans="1:3" x14ac:dyDescent="0.3">
      <c r="A730" t="s">
        <v>120</v>
      </c>
      <c r="B730" s="28">
        <v>43449</v>
      </c>
      <c r="C730" s="58">
        <v>122</v>
      </c>
    </row>
    <row r="731" spans="1:3" x14ac:dyDescent="0.3">
      <c r="A731" t="s">
        <v>121</v>
      </c>
      <c r="C731" s="58">
        <v>60230.5</v>
      </c>
    </row>
  </sheetData>
  <sheetProtection algorithmName="SHA-512" hashValue="hF5jXbYzF8remy2S6ahCLvAqvsX3rJt6HNdNn7liXpvSZ0q9X4cQi+Jgrh+d13G02I0ZiKMZ6Mc+ST+TyCap2Q==" saltValue="u4NxVHIkdw3ccCf03cAoIw=="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098F-8D9A-4F9D-A2CF-1A8CBF978EA0}">
  <dimension ref="A1:E8"/>
  <sheetViews>
    <sheetView workbookViewId="0">
      <selection sqref="A1:XFD1048576"/>
    </sheetView>
  </sheetViews>
  <sheetFormatPr defaultRowHeight="14.4" x14ac:dyDescent="0.3"/>
  <cols>
    <col min="1" max="1" width="16" customWidth="1"/>
    <col min="2" max="2" width="35.33203125" customWidth="1"/>
    <col min="4" max="4" width="8.109375" customWidth="1"/>
    <col min="5" max="5" width="56.44140625" customWidth="1"/>
  </cols>
  <sheetData>
    <row r="1" spans="1:5" x14ac:dyDescent="0.3">
      <c r="A1" s="57" t="s">
        <v>122</v>
      </c>
    </row>
    <row r="3" spans="1:5" x14ac:dyDescent="0.3">
      <c r="A3" s="33" t="s">
        <v>123</v>
      </c>
      <c r="B3" s="33"/>
      <c r="E3" t="s">
        <v>124</v>
      </c>
    </row>
    <row r="4" spans="1:5" ht="52.5" customHeight="1" x14ac:dyDescent="0.3">
      <c r="A4" s="43" t="s">
        <v>125</v>
      </c>
      <c r="B4" s="55" t="s">
        <v>126</v>
      </c>
      <c r="E4" s="56" t="s">
        <v>127</v>
      </c>
    </row>
    <row r="5" spans="1:5" ht="158.4" x14ac:dyDescent="0.3">
      <c r="A5" s="43" t="s">
        <v>128</v>
      </c>
      <c r="B5" s="55" t="s">
        <v>129</v>
      </c>
    </row>
    <row r="6" spans="1:5" ht="43.2" x14ac:dyDescent="0.3">
      <c r="A6" s="43" t="s">
        <v>130</v>
      </c>
      <c r="B6" s="55" t="s">
        <v>131</v>
      </c>
    </row>
    <row r="7" spans="1:5" ht="86.4" x14ac:dyDescent="0.3">
      <c r="A7" s="43" t="s">
        <v>132</v>
      </c>
      <c r="B7" s="55" t="s">
        <v>133</v>
      </c>
    </row>
    <row r="8" spans="1:5" ht="43.2" x14ac:dyDescent="0.3">
      <c r="A8" s="43" t="s">
        <v>134</v>
      </c>
      <c r="B8" s="55" t="s">
        <v>135</v>
      </c>
    </row>
  </sheetData>
  <sheetProtection algorithmName="SHA-512" hashValue="gpWADBzr24FhkBW9vw/WnUavGcu5P+mcUqoJZOZenlEPG0y8SxRcAbGsrfR+hYfGOF/fL4FEbZRefctyYdhDHQ==" saltValue="tGZtSfZ1Dqz3RzBED+GXMA=="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0AD7-3C46-4C59-A6FB-21C7F00E4D8F}">
  <sheetPr filterMode="1">
    <tabColor rgb="FFFF0000"/>
  </sheetPr>
  <dimension ref="A1:W1100"/>
  <sheetViews>
    <sheetView topLeftCell="C1" zoomScaleNormal="100" workbookViewId="0">
      <pane ySplit="1" topLeftCell="A894" activePane="bottomLeft" state="frozen"/>
      <selection pane="bottomLeft" activeCell="C1" sqref="A1:XFD1048576"/>
    </sheetView>
  </sheetViews>
  <sheetFormatPr defaultRowHeight="14.4" x14ac:dyDescent="0.3"/>
  <cols>
    <col min="1" max="1" width="15.44140625" customWidth="1"/>
    <col min="2" max="2" width="30.88671875" customWidth="1"/>
    <col min="3" max="3" width="15.88671875" customWidth="1"/>
    <col min="4" max="4" width="9.88671875" customWidth="1"/>
    <col min="5" max="5" width="13" customWidth="1"/>
    <col min="6" max="6" width="14.109375" customWidth="1"/>
    <col min="7" max="7" width="15.109375" hidden="1" customWidth="1"/>
    <col min="8" max="8" width="17.33203125" hidden="1" customWidth="1"/>
    <col min="9" max="9" width="15.44140625" hidden="1" customWidth="1"/>
    <col min="10" max="10" width="15.5546875" hidden="1" customWidth="1"/>
    <col min="11" max="11" width="12.6640625" hidden="1" customWidth="1"/>
    <col min="12" max="12" width="11" hidden="1" customWidth="1"/>
    <col min="13" max="13" width="12.88671875" customWidth="1"/>
    <col min="14" max="14" width="12" customWidth="1"/>
    <col min="15" max="15" width="16.88671875" customWidth="1"/>
    <col min="16" max="16" width="11.88671875" customWidth="1"/>
    <col min="17" max="17" width="12.6640625" customWidth="1"/>
    <col min="18" max="18" width="11.5546875" customWidth="1"/>
    <col min="20" max="20" width="11.88671875" customWidth="1"/>
    <col min="23" max="23" width="10.6640625" bestFit="1" customWidth="1"/>
    <col min="25" max="26" width="9.109375" customWidth="1"/>
  </cols>
  <sheetData>
    <row r="1" spans="1:23" x14ac:dyDescent="0.3">
      <c r="A1" s="11" t="s">
        <v>74</v>
      </c>
      <c r="B1" s="12" t="s">
        <v>4</v>
      </c>
      <c r="C1" s="11" t="s">
        <v>5</v>
      </c>
      <c r="D1" s="11" t="s">
        <v>6</v>
      </c>
      <c r="E1" s="11" t="s">
        <v>136</v>
      </c>
      <c r="F1" s="11" t="s">
        <v>137</v>
      </c>
      <c r="G1" s="11" t="s">
        <v>7</v>
      </c>
      <c r="H1" s="11" t="s">
        <v>8</v>
      </c>
      <c r="I1" s="11" t="s">
        <v>9</v>
      </c>
      <c r="J1" s="11" t="s">
        <v>10</v>
      </c>
      <c r="K1" s="11" t="s">
        <v>11</v>
      </c>
      <c r="L1" s="11" t="s">
        <v>12</v>
      </c>
      <c r="M1" s="11" t="s">
        <v>138</v>
      </c>
      <c r="N1" s="11" t="s">
        <v>139</v>
      </c>
      <c r="O1" s="11" t="s">
        <v>140</v>
      </c>
      <c r="P1" s="11" t="s">
        <v>141</v>
      </c>
      <c r="Q1" s="11" t="s">
        <v>142</v>
      </c>
      <c r="R1" s="11" t="s">
        <v>143</v>
      </c>
      <c r="S1" s="11"/>
      <c r="W1" s="28">
        <v>44378</v>
      </c>
    </row>
    <row r="2" spans="1:23" x14ac:dyDescent="0.3">
      <c r="A2" s="77">
        <v>43253</v>
      </c>
      <c r="B2" s="78" t="s">
        <v>119</v>
      </c>
      <c r="C2" s="30"/>
      <c r="D2" s="75">
        <v>44</v>
      </c>
      <c r="E2" s="40"/>
      <c r="F2" s="40"/>
      <c r="G2" s="11"/>
      <c r="H2" s="11"/>
      <c r="I2" s="11"/>
      <c r="J2" s="11"/>
      <c r="K2" s="11"/>
      <c r="L2" s="11"/>
      <c r="M2" s="40">
        <v>26.26</v>
      </c>
      <c r="N2" s="75">
        <v>44</v>
      </c>
      <c r="O2" s="51">
        <f>(M2*40)+(M2*1.5)*4</f>
        <v>1207.96</v>
      </c>
      <c r="P2" s="35">
        <f t="shared" ref="P2:P13" si="0">ROUND(((ROUNDDOWN(($W$1-A2)/30,0))/100)*O2,2)</f>
        <v>446.95</v>
      </c>
      <c r="Q2" s="40">
        <f>O2*2</f>
        <v>2415.92</v>
      </c>
      <c r="R2" s="40">
        <v>556.29999999999995</v>
      </c>
      <c r="S2" s="73"/>
      <c r="W2" s="28"/>
    </row>
    <row r="3" spans="1:23" x14ac:dyDescent="0.3">
      <c r="A3" s="77">
        <v>43267</v>
      </c>
      <c r="B3" s="78" t="s">
        <v>119</v>
      </c>
      <c r="C3" s="30"/>
      <c r="D3" s="75">
        <v>106</v>
      </c>
      <c r="E3" s="40"/>
      <c r="F3" s="40"/>
      <c r="G3" s="11"/>
      <c r="H3" s="11"/>
      <c r="I3" s="11"/>
      <c r="J3" s="11"/>
      <c r="K3" s="11"/>
      <c r="L3" s="11"/>
      <c r="M3" s="40">
        <v>26.26</v>
      </c>
      <c r="N3" s="75">
        <v>106</v>
      </c>
      <c r="O3" s="51">
        <f>(M3*80)+(N3-80)*(M3*1.5)</f>
        <v>3124.9400000000005</v>
      </c>
      <c r="P3" s="35">
        <f t="shared" si="0"/>
        <v>1156.23</v>
      </c>
      <c r="Q3" s="40">
        <f t="shared" ref="Q3:Q19" si="1">O3*2</f>
        <v>6249.880000000001</v>
      </c>
      <c r="R3" s="40"/>
      <c r="S3" s="73"/>
      <c r="W3" s="28"/>
    </row>
    <row r="4" spans="1:23" x14ac:dyDescent="0.3">
      <c r="A4" s="77">
        <v>43281</v>
      </c>
      <c r="B4" s="78" t="s">
        <v>119</v>
      </c>
      <c r="C4" s="30"/>
      <c r="D4" s="75">
        <v>103</v>
      </c>
      <c r="E4" s="40"/>
      <c r="F4" s="40"/>
      <c r="G4" s="11"/>
      <c r="H4" s="11"/>
      <c r="I4" s="11"/>
      <c r="J4" s="11"/>
      <c r="K4" s="11"/>
      <c r="L4" s="11"/>
      <c r="M4" s="40">
        <v>26.26</v>
      </c>
      <c r="N4" s="75">
        <v>103</v>
      </c>
      <c r="O4" s="51">
        <f t="shared" ref="O4:O12" si="2">(M4*80)+(N4-80)*(M4*1.5)</f>
        <v>3006.7700000000004</v>
      </c>
      <c r="P4" s="35">
        <f t="shared" si="0"/>
        <v>1082.44</v>
      </c>
      <c r="Q4" s="40">
        <f t="shared" si="1"/>
        <v>6013.5400000000009</v>
      </c>
      <c r="R4" s="40"/>
      <c r="S4" s="73"/>
      <c r="W4" s="28"/>
    </row>
    <row r="5" spans="1:23" x14ac:dyDescent="0.3">
      <c r="A5" s="77">
        <v>43295</v>
      </c>
      <c r="B5" s="78" t="s">
        <v>119</v>
      </c>
      <c r="C5" s="30"/>
      <c r="D5" s="75">
        <v>72</v>
      </c>
      <c r="E5" s="40"/>
      <c r="F5" s="40"/>
      <c r="G5" s="11"/>
      <c r="H5" s="11"/>
      <c r="I5" s="11"/>
      <c r="J5" s="11"/>
      <c r="K5" s="11"/>
      <c r="L5" s="11"/>
      <c r="M5" s="40">
        <v>26.26</v>
      </c>
      <c r="N5" s="75">
        <v>72</v>
      </c>
      <c r="O5" s="51">
        <f>M5*N5</f>
        <v>1890.72</v>
      </c>
      <c r="P5" s="35">
        <f t="shared" si="0"/>
        <v>680.66</v>
      </c>
      <c r="Q5" s="40">
        <f t="shared" si="1"/>
        <v>3781.44</v>
      </c>
      <c r="R5" s="40"/>
      <c r="S5" s="73"/>
      <c r="W5" s="28"/>
    </row>
    <row r="6" spans="1:23" x14ac:dyDescent="0.3">
      <c r="A6" s="77">
        <v>43309</v>
      </c>
      <c r="B6" s="78" t="s">
        <v>119</v>
      </c>
      <c r="C6" s="30"/>
      <c r="D6" s="75">
        <v>87</v>
      </c>
      <c r="E6" s="40"/>
      <c r="F6" s="40"/>
      <c r="G6" s="11"/>
      <c r="H6" s="11"/>
      <c r="I6" s="11"/>
      <c r="J6" s="11"/>
      <c r="K6" s="11"/>
      <c r="L6" s="11"/>
      <c r="M6" s="40">
        <v>26.26</v>
      </c>
      <c r="N6" s="75">
        <v>87</v>
      </c>
      <c r="O6" s="51">
        <f t="shared" si="2"/>
        <v>2376.5300000000002</v>
      </c>
      <c r="P6" s="35">
        <f t="shared" si="0"/>
        <v>831.79</v>
      </c>
      <c r="Q6" s="40">
        <f t="shared" si="1"/>
        <v>4753.0600000000004</v>
      </c>
      <c r="R6" s="40"/>
      <c r="S6" s="73"/>
      <c r="W6" s="28"/>
    </row>
    <row r="7" spans="1:23" x14ac:dyDescent="0.3">
      <c r="A7" s="77">
        <v>43323</v>
      </c>
      <c r="B7" s="78" t="s">
        <v>119</v>
      </c>
      <c r="C7" s="30"/>
      <c r="D7" s="75">
        <v>89</v>
      </c>
      <c r="E7" s="40"/>
      <c r="F7" s="40"/>
      <c r="G7" s="11"/>
      <c r="H7" s="11"/>
      <c r="I7" s="11"/>
      <c r="J7" s="11"/>
      <c r="K7" s="11"/>
      <c r="L7" s="11"/>
      <c r="M7" s="40">
        <v>26.26</v>
      </c>
      <c r="N7" s="75">
        <v>89</v>
      </c>
      <c r="O7" s="51">
        <f t="shared" si="2"/>
        <v>2455.3100000000004</v>
      </c>
      <c r="P7" s="35">
        <f t="shared" si="0"/>
        <v>859.36</v>
      </c>
      <c r="Q7" s="40">
        <f t="shared" si="1"/>
        <v>4910.6200000000008</v>
      </c>
      <c r="R7" s="40"/>
      <c r="S7" s="73"/>
      <c r="W7" s="28"/>
    </row>
    <row r="8" spans="1:23" x14ac:dyDescent="0.3">
      <c r="A8" s="77">
        <v>43337</v>
      </c>
      <c r="B8" s="78" t="s">
        <v>119</v>
      </c>
      <c r="C8" s="30"/>
      <c r="D8" s="75">
        <v>95</v>
      </c>
      <c r="E8" s="40"/>
      <c r="F8" s="40"/>
      <c r="G8" s="11"/>
      <c r="H8" s="11"/>
      <c r="I8" s="11"/>
      <c r="J8" s="11"/>
      <c r="K8" s="11"/>
      <c r="L8" s="11"/>
      <c r="M8" s="40">
        <v>26.26</v>
      </c>
      <c r="N8" s="75">
        <v>95</v>
      </c>
      <c r="O8" s="51">
        <f t="shared" si="2"/>
        <v>2691.65</v>
      </c>
      <c r="P8" s="35">
        <f t="shared" si="0"/>
        <v>915.16</v>
      </c>
      <c r="Q8" s="40">
        <f t="shared" si="1"/>
        <v>5383.3</v>
      </c>
      <c r="R8" s="40"/>
      <c r="S8" s="73"/>
      <c r="W8" s="28"/>
    </row>
    <row r="9" spans="1:23" x14ac:dyDescent="0.3">
      <c r="A9" s="77">
        <v>43351</v>
      </c>
      <c r="B9" s="78" t="s">
        <v>119</v>
      </c>
      <c r="C9" s="30"/>
      <c r="D9" s="75">
        <v>83</v>
      </c>
      <c r="E9" s="40"/>
      <c r="F9" s="40"/>
      <c r="G9" s="11"/>
      <c r="H9" s="11"/>
      <c r="I9" s="11"/>
      <c r="J9" s="11"/>
      <c r="K9" s="11"/>
      <c r="L9" s="11"/>
      <c r="M9" s="40">
        <v>26.26</v>
      </c>
      <c r="N9" s="75">
        <v>83</v>
      </c>
      <c r="O9" s="51">
        <f t="shared" si="2"/>
        <v>2218.9700000000003</v>
      </c>
      <c r="P9" s="35">
        <f t="shared" si="0"/>
        <v>754.45</v>
      </c>
      <c r="Q9" s="40">
        <f t="shared" si="1"/>
        <v>4437.9400000000005</v>
      </c>
      <c r="R9" s="40"/>
      <c r="S9" s="73"/>
      <c r="W9" s="28"/>
    </row>
    <row r="10" spans="1:23" x14ac:dyDescent="0.3">
      <c r="A10" s="77">
        <v>43365</v>
      </c>
      <c r="B10" s="78" t="s">
        <v>119</v>
      </c>
      <c r="C10" s="30"/>
      <c r="D10" s="75">
        <v>111</v>
      </c>
      <c r="E10" s="40"/>
      <c r="F10" s="40"/>
      <c r="G10" s="11"/>
      <c r="H10" s="11"/>
      <c r="I10" s="11"/>
      <c r="J10" s="11"/>
      <c r="K10" s="11"/>
      <c r="L10" s="11"/>
      <c r="M10" s="40">
        <v>26.26</v>
      </c>
      <c r="N10" s="75">
        <v>111</v>
      </c>
      <c r="O10" s="51">
        <f t="shared" si="2"/>
        <v>3321.8900000000003</v>
      </c>
      <c r="P10" s="35">
        <f t="shared" si="0"/>
        <v>1096.22</v>
      </c>
      <c r="Q10" s="40">
        <f t="shared" si="1"/>
        <v>6643.7800000000007</v>
      </c>
      <c r="R10" s="40"/>
      <c r="S10" s="73"/>
      <c r="W10" s="28"/>
    </row>
    <row r="11" spans="1:23" x14ac:dyDescent="0.3">
      <c r="A11" s="77">
        <v>43379</v>
      </c>
      <c r="B11" s="78" t="s">
        <v>119</v>
      </c>
      <c r="C11" s="30"/>
      <c r="D11" s="75">
        <v>99.75</v>
      </c>
      <c r="E11" s="40"/>
      <c r="F11" s="40"/>
      <c r="G11" s="11"/>
      <c r="H11" s="11"/>
      <c r="I11" s="11"/>
      <c r="J11" s="11"/>
      <c r="K11" s="11"/>
      <c r="L11" s="11"/>
      <c r="M11" s="40">
        <v>26.26</v>
      </c>
      <c r="N11" s="75">
        <v>99.75</v>
      </c>
      <c r="O11" s="51">
        <f t="shared" si="2"/>
        <v>2878.7525000000001</v>
      </c>
      <c r="P11" s="35">
        <f t="shared" si="0"/>
        <v>949.99</v>
      </c>
      <c r="Q11" s="40">
        <f t="shared" si="1"/>
        <v>5757.5050000000001</v>
      </c>
      <c r="R11" s="40"/>
      <c r="S11" s="73"/>
      <c r="W11" s="28"/>
    </row>
    <row r="12" spans="1:23" x14ac:dyDescent="0.3">
      <c r="A12" s="77">
        <v>43393</v>
      </c>
      <c r="B12" s="78" t="s">
        <v>119</v>
      </c>
      <c r="C12" s="30"/>
      <c r="D12" s="75">
        <v>114</v>
      </c>
      <c r="E12" s="40"/>
      <c r="F12" s="40"/>
      <c r="G12" s="11"/>
      <c r="H12" s="11"/>
      <c r="I12" s="11"/>
      <c r="J12" s="11"/>
      <c r="K12" s="11"/>
      <c r="L12" s="11"/>
      <c r="M12" s="40">
        <v>26.26</v>
      </c>
      <c r="N12" s="75">
        <v>114</v>
      </c>
      <c r="O12" s="51">
        <f t="shared" si="2"/>
        <v>3440.0600000000004</v>
      </c>
      <c r="P12" s="35">
        <f t="shared" si="0"/>
        <v>1100.82</v>
      </c>
      <c r="Q12" s="40">
        <f t="shared" si="1"/>
        <v>6880.1200000000008</v>
      </c>
      <c r="R12" s="40"/>
      <c r="S12" s="73"/>
      <c r="W12" s="28"/>
    </row>
    <row r="13" spans="1:23" x14ac:dyDescent="0.3">
      <c r="A13" s="77">
        <v>43407</v>
      </c>
      <c r="B13" s="78" t="s">
        <v>119</v>
      </c>
      <c r="C13" s="30"/>
      <c r="D13" s="75">
        <v>53</v>
      </c>
      <c r="E13" s="40"/>
      <c r="F13" s="40"/>
      <c r="G13" s="11"/>
      <c r="H13" s="11"/>
      <c r="I13" s="11"/>
      <c r="J13" s="11"/>
      <c r="K13" s="11"/>
      <c r="L13" s="11"/>
      <c r="M13" s="40">
        <v>26.26</v>
      </c>
      <c r="N13" s="75">
        <v>53</v>
      </c>
      <c r="O13" s="51">
        <f>(M13*40)+(M13*1.5)*13</f>
        <v>1562.4700000000003</v>
      </c>
      <c r="P13" s="35">
        <f t="shared" si="0"/>
        <v>499.99</v>
      </c>
      <c r="Q13" s="40">
        <f t="shared" si="1"/>
        <v>3124.9400000000005</v>
      </c>
      <c r="R13" s="40"/>
      <c r="S13" s="73"/>
      <c r="W13" s="28"/>
    </row>
    <row r="14" spans="1:23" x14ac:dyDescent="0.3">
      <c r="A14" s="29">
        <v>43393</v>
      </c>
      <c r="B14" s="30" t="s">
        <v>76</v>
      </c>
      <c r="C14" s="30"/>
      <c r="D14" s="31">
        <v>30</v>
      </c>
      <c r="E14" s="40"/>
      <c r="F14" s="40"/>
      <c r="G14" s="30"/>
      <c r="H14" s="30"/>
      <c r="I14" s="30"/>
      <c r="J14" s="30"/>
      <c r="K14" s="30"/>
      <c r="L14" s="30"/>
      <c r="M14" s="49">
        <v>22.08</v>
      </c>
      <c r="N14" s="30">
        <v>30</v>
      </c>
      <c r="O14" s="51">
        <f>M14*N14</f>
        <v>662.4</v>
      </c>
      <c r="P14" s="35">
        <f t="shared" ref="P14:P15" si="3">ROUND(((ROUNDDOWN(($W$1-A14)/30,0))/100)*O14,2)</f>
        <v>211.97</v>
      </c>
      <c r="Q14" s="40">
        <f t="shared" si="1"/>
        <v>1324.8</v>
      </c>
      <c r="R14" s="40">
        <v>556.29999999999995</v>
      </c>
      <c r="W14" s="28"/>
    </row>
    <row r="15" spans="1:23" x14ac:dyDescent="0.3">
      <c r="A15" s="29">
        <v>43407</v>
      </c>
      <c r="B15" s="30" t="s">
        <v>76</v>
      </c>
      <c r="C15" s="30"/>
      <c r="D15" s="31">
        <v>108</v>
      </c>
      <c r="E15" s="40"/>
      <c r="F15" s="40"/>
      <c r="G15" s="30"/>
      <c r="H15" s="30"/>
      <c r="I15" s="30"/>
      <c r="J15" s="30"/>
      <c r="K15" s="30"/>
      <c r="L15" s="30"/>
      <c r="M15" s="49">
        <v>22.08</v>
      </c>
      <c r="N15" s="30">
        <v>108</v>
      </c>
      <c r="O15" s="51">
        <f>(M15*80)+(108-80)*(M15*1.5)</f>
        <v>2693.7599999999998</v>
      </c>
      <c r="P15" s="35">
        <f t="shared" si="3"/>
        <v>862</v>
      </c>
      <c r="Q15" s="40">
        <f t="shared" si="1"/>
        <v>5387.5199999999995</v>
      </c>
      <c r="R15" s="40"/>
      <c r="W15" s="28"/>
    </row>
    <row r="16" spans="1:23" x14ac:dyDescent="0.3">
      <c r="A16" s="32">
        <v>43427</v>
      </c>
      <c r="B16" s="33" t="s">
        <v>76</v>
      </c>
      <c r="C16" s="34">
        <v>2052</v>
      </c>
      <c r="D16" s="33">
        <v>80</v>
      </c>
      <c r="E16" s="35">
        <v>188</v>
      </c>
      <c r="F16" s="35">
        <v>2080</v>
      </c>
      <c r="G16" s="34">
        <v>216</v>
      </c>
      <c r="H16" s="34">
        <v>0</v>
      </c>
      <c r="I16" s="34">
        <v>2268</v>
      </c>
      <c r="J16" s="34">
        <v>388.71</v>
      </c>
      <c r="K16" s="34">
        <v>2656.71</v>
      </c>
      <c r="L16" s="33" t="s">
        <v>14</v>
      </c>
      <c r="M16" s="34">
        <f>(E16+F16)/N16</f>
        <v>19.894736842105264</v>
      </c>
      <c r="N16" s="27">
        <v>114</v>
      </c>
      <c r="O16" s="34">
        <f>((N16-80)*M16)*0.5</f>
        <v>338.21052631578948</v>
      </c>
      <c r="P16" s="35">
        <f>ROUND(((ROUNDDOWN(($W$1-A16)/30,0))/100)*O16,2)</f>
        <v>104.85</v>
      </c>
      <c r="Q16" s="40">
        <f t="shared" si="1"/>
        <v>676.42105263157896</v>
      </c>
      <c r="R16" s="35"/>
    </row>
    <row r="17" spans="1:18" x14ac:dyDescent="0.3">
      <c r="A17" s="32">
        <v>43441</v>
      </c>
      <c r="B17" s="33" t="s">
        <v>76</v>
      </c>
      <c r="C17" s="34">
        <v>856</v>
      </c>
      <c r="D17" s="36">
        <v>52</v>
      </c>
      <c r="E17" s="35">
        <v>29.33</v>
      </c>
      <c r="F17" s="35">
        <v>1440</v>
      </c>
      <c r="G17" s="34">
        <v>173.33</v>
      </c>
      <c r="H17" s="34">
        <v>440</v>
      </c>
      <c r="I17" s="34">
        <v>1469.33</v>
      </c>
      <c r="J17" s="34">
        <v>292.27</v>
      </c>
      <c r="K17" s="34">
        <v>1761.6</v>
      </c>
      <c r="L17" s="33" t="s">
        <v>14</v>
      </c>
      <c r="M17" s="34">
        <f t="shared" ref="M17:M80" si="4">(E17+F17)/N17</f>
        <v>20.407361111111111</v>
      </c>
      <c r="N17" s="27">
        <v>72</v>
      </c>
      <c r="O17" s="38">
        <f>(M17*0.5)*12</f>
        <v>122.44416666666666</v>
      </c>
      <c r="P17" s="35">
        <f t="shared" ref="P17:P75" si="5">ROUND(((ROUNDDOWN(($W$1-A17)/30,0))/100)*O17,2)</f>
        <v>37.96</v>
      </c>
      <c r="Q17" s="40">
        <f t="shared" si="1"/>
        <v>244.88833333333332</v>
      </c>
      <c r="R17" s="35"/>
    </row>
    <row r="18" spans="1:18" x14ac:dyDescent="0.3">
      <c r="A18" s="32">
        <v>43455</v>
      </c>
      <c r="B18" s="33" t="s">
        <v>76</v>
      </c>
      <c r="C18" s="34">
        <v>1463</v>
      </c>
      <c r="D18" s="33">
        <v>80</v>
      </c>
      <c r="E18" s="35">
        <v>157.31</v>
      </c>
      <c r="F18" s="35">
        <v>1520</v>
      </c>
      <c r="G18" s="34">
        <v>214.31</v>
      </c>
      <c r="H18" s="34">
        <v>0</v>
      </c>
      <c r="I18" s="34">
        <v>1677.31</v>
      </c>
      <c r="J18" s="34">
        <v>329.29</v>
      </c>
      <c r="K18" s="34">
        <v>2006.6</v>
      </c>
      <c r="L18" s="33" t="s">
        <v>14</v>
      </c>
      <c r="M18" s="34">
        <f t="shared" si="4"/>
        <v>20.966374999999999</v>
      </c>
      <c r="N18" s="27">
        <v>80</v>
      </c>
      <c r="O18" s="34">
        <f t="shared" ref="O18:O82" si="6">((N18-80)*M18)*0.5</f>
        <v>0</v>
      </c>
      <c r="P18" s="35">
        <f t="shared" si="5"/>
        <v>0</v>
      </c>
      <c r="Q18" s="40">
        <f t="shared" si="1"/>
        <v>0</v>
      </c>
      <c r="R18" s="35"/>
    </row>
    <row r="19" spans="1:18" x14ac:dyDescent="0.3">
      <c r="A19" s="32">
        <v>43469</v>
      </c>
      <c r="B19" s="33" t="s">
        <v>76</v>
      </c>
      <c r="C19" s="34">
        <v>1108</v>
      </c>
      <c r="D19" s="33">
        <v>80</v>
      </c>
      <c r="E19" s="35">
        <v>23.67</v>
      </c>
      <c r="F19" s="35">
        <v>1760</v>
      </c>
      <c r="G19" s="34">
        <v>235.67</v>
      </c>
      <c r="H19" s="34">
        <v>440</v>
      </c>
      <c r="I19" s="34">
        <v>1783.67</v>
      </c>
      <c r="J19" s="34">
        <v>339.98</v>
      </c>
      <c r="K19" s="34">
        <v>2123.65</v>
      </c>
      <c r="L19" s="33" t="s">
        <v>14</v>
      </c>
      <c r="M19" s="34">
        <f t="shared" si="4"/>
        <v>20.740348837209304</v>
      </c>
      <c r="N19" s="27">
        <v>86</v>
      </c>
      <c r="O19" s="34">
        <f t="shared" si="6"/>
        <v>62.221046511627911</v>
      </c>
      <c r="P19" s="35">
        <f t="shared" si="5"/>
        <v>18.670000000000002</v>
      </c>
      <c r="Q19" s="40">
        <f t="shared" si="1"/>
        <v>124.44209302325582</v>
      </c>
      <c r="R19" s="35"/>
    </row>
    <row r="20" spans="1:18" hidden="1" x14ac:dyDescent="0.3">
      <c r="A20" s="37" t="s">
        <v>77</v>
      </c>
      <c r="B20" s="33" t="s">
        <v>76</v>
      </c>
      <c r="C20" s="34">
        <v>1872</v>
      </c>
      <c r="D20" s="33">
        <v>80</v>
      </c>
      <c r="E20" s="33">
        <v>0</v>
      </c>
      <c r="F20" s="33">
        <v>2080</v>
      </c>
      <c r="G20" s="34">
        <v>208</v>
      </c>
      <c r="H20" s="34">
        <v>0</v>
      </c>
      <c r="I20" s="34">
        <v>2080</v>
      </c>
      <c r="J20" s="34">
        <v>369.79</v>
      </c>
      <c r="K20" s="34">
        <v>2449.79</v>
      </c>
      <c r="L20" s="33" t="s">
        <v>14</v>
      </c>
      <c r="M20" s="34">
        <f t="shared" si="4"/>
        <v>18.90909090909091</v>
      </c>
      <c r="N20" s="27">
        <v>110</v>
      </c>
      <c r="O20" s="34">
        <f t="shared" si="6"/>
        <v>283.63636363636363</v>
      </c>
      <c r="P20" s="35" t="e">
        <f t="shared" si="5"/>
        <v>#VALUE!</v>
      </c>
      <c r="Q20" s="34">
        <f t="shared" ref="Q20:Q82" si="7">O20*1.5</f>
        <v>425.45454545454544</v>
      </c>
      <c r="R20" s="35"/>
    </row>
    <row r="21" spans="1:18" x14ac:dyDescent="0.3">
      <c r="A21" s="32">
        <v>43497</v>
      </c>
      <c r="B21" s="33" t="s">
        <v>76</v>
      </c>
      <c r="C21" s="34">
        <v>1640</v>
      </c>
      <c r="D21" s="33">
        <v>80</v>
      </c>
      <c r="E21" s="35">
        <v>362.29</v>
      </c>
      <c r="F21" s="35">
        <v>2080</v>
      </c>
      <c r="G21" s="34">
        <v>362.29</v>
      </c>
      <c r="H21" s="34">
        <v>440</v>
      </c>
      <c r="I21" s="34">
        <v>2442.29</v>
      </c>
      <c r="J21" s="34">
        <v>406.25</v>
      </c>
      <c r="K21" s="34">
        <v>2848.54</v>
      </c>
      <c r="L21" s="33" t="s">
        <v>14</v>
      </c>
      <c r="M21" s="34">
        <f t="shared" si="4"/>
        <v>22.202636363636362</v>
      </c>
      <c r="N21" s="27">
        <v>110</v>
      </c>
      <c r="O21" s="34">
        <f t="shared" si="6"/>
        <v>333.03954545454542</v>
      </c>
      <c r="P21" s="35">
        <f t="shared" si="5"/>
        <v>96.58</v>
      </c>
      <c r="Q21" s="40">
        <f t="shared" ref="Q21:Q28" si="8">O21*2</f>
        <v>666.07909090909084</v>
      </c>
      <c r="R21" s="35"/>
    </row>
    <row r="22" spans="1:18" x14ac:dyDescent="0.3">
      <c r="A22" s="32">
        <v>43511</v>
      </c>
      <c r="B22" s="33" t="s">
        <v>76</v>
      </c>
      <c r="C22" s="34">
        <v>1665</v>
      </c>
      <c r="D22" s="33">
        <v>80</v>
      </c>
      <c r="E22" s="35">
        <v>208.31</v>
      </c>
      <c r="F22" s="35">
        <v>1890</v>
      </c>
      <c r="G22" s="34">
        <v>208.31</v>
      </c>
      <c r="H22" s="34">
        <v>225</v>
      </c>
      <c r="I22" s="34">
        <v>2098.31</v>
      </c>
      <c r="J22" s="34">
        <v>363.19</v>
      </c>
      <c r="K22" s="34">
        <v>2461.5</v>
      </c>
      <c r="L22" s="33" t="s">
        <v>14</v>
      </c>
      <c r="M22" s="34">
        <f t="shared" si="4"/>
        <v>21.08854271356784</v>
      </c>
      <c r="N22" s="27">
        <v>99.5</v>
      </c>
      <c r="O22" s="34">
        <f t="shared" si="6"/>
        <v>205.61329145728644</v>
      </c>
      <c r="P22" s="35">
        <f t="shared" si="5"/>
        <v>57.57</v>
      </c>
      <c r="Q22" s="40">
        <f t="shared" si="8"/>
        <v>411.22658291457287</v>
      </c>
      <c r="R22" s="35"/>
    </row>
    <row r="23" spans="1:18" x14ac:dyDescent="0.3">
      <c r="A23" s="32">
        <v>43523</v>
      </c>
      <c r="B23" s="33" t="s">
        <v>76</v>
      </c>
      <c r="C23" s="34">
        <v>1814</v>
      </c>
      <c r="D23" s="33">
        <v>0</v>
      </c>
      <c r="E23" s="35">
        <v>1814</v>
      </c>
      <c r="F23" s="35">
        <v>0</v>
      </c>
      <c r="G23" s="34">
        <v>243.14</v>
      </c>
      <c r="H23" s="34">
        <v>0</v>
      </c>
      <c r="I23" s="34">
        <v>2057.14</v>
      </c>
      <c r="J23" s="34">
        <v>194.61</v>
      </c>
      <c r="K23" s="34">
        <v>2251.75</v>
      </c>
      <c r="L23" s="33" t="s">
        <v>14</v>
      </c>
      <c r="M23" s="34">
        <f t="shared" si="4"/>
        <v>18.994764397905758</v>
      </c>
      <c r="N23" s="27">
        <v>95.5</v>
      </c>
      <c r="O23" s="34">
        <f t="shared" si="6"/>
        <v>147.20942408376962</v>
      </c>
      <c r="P23" s="35">
        <f t="shared" si="5"/>
        <v>41.22</v>
      </c>
      <c r="Q23" s="40">
        <f t="shared" si="8"/>
        <v>294.41884816753924</v>
      </c>
      <c r="R23" s="35"/>
    </row>
    <row r="24" spans="1:18" x14ac:dyDescent="0.3">
      <c r="A24" s="32">
        <v>43539</v>
      </c>
      <c r="B24" s="33" t="s">
        <v>76</v>
      </c>
      <c r="C24" s="34">
        <v>1890</v>
      </c>
      <c r="D24" s="33">
        <v>80</v>
      </c>
      <c r="E24" s="35">
        <v>125.05</v>
      </c>
      <c r="F24" s="35">
        <v>2080</v>
      </c>
      <c r="G24" s="34">
        <v>315.05</v>
      </c>
      <c r="H24" s="34">
        <v>0</v>
      </c>
      <c r="I24" s="34">
        <v>2205.0500000000002</v>
      </c>
      <c r="J24" s="34">
        <v>369.13</v>
      </c>
      <c r="K24" s="34">
        <v>2574.1799999999998</v>
      </c>
      <c r="L24" s="33" t="s">
        <v>14</v>
      </c>
      <c r="M24" s="34">
        <f t="shared" si="4"/>
        <v>22.161306532663318</v>
      </c>
      <c r="N24" s="27">
        <v>99.5</v>
      </c>
      <c r="O24" s="34">
        <f t="shared" si="6"/>
        <v>216.07273869346736</v>
      </c>
      <c r="P24" s="35">
        <f t="shared" si="5"/>
        <v>58.34</v>
      </c>
      <c r="Q24" s="40">
        <f t="shared" si="8"/>
        <v>432.14547738693472</v>
      </c>
      <c r="R24" s="35"/>
    </row>
    <row r="25" spans="1:18" x14ac:dyDescent="0.3">
      <c r="A25" s="32">
        <v>43553</v>
      </c>
      <c r="B25" s="33" t="s">
        <v>76</v>
      </c>
      <c r="C25" s="34">
        <v>1748</v>
      </c>
      <c r="D25" s="33">
        <v>75</v>
      </c>
      <c r="E25" s="35">
        <v>0</v>
      </c>
      <c r="F25" s="35">
        <v>1950</v>
      </c>
      <c r="G25" s="34">
        <v>202</v>
      </c>
      <c r="H25" s="34">
        <v>0</v>
      </c>
      <c r="I25" s="34">
        <v>1950</v>
      </c>
      <c r="J25" s="34">
        <v>334.97</v>
      </c>
      <c r="K25" s="34">
        <v>2284.9699999999998</v>
      </c>
      <c r="L25" s="33" t="s">
        <v>14</v>
      </c>
      <c r="M25" s="34">
        <f t="shared" si="4"/>
        <v>21.195652173913043</v>
      </c>
      <c r="N25" s="27">
        <v>92</v>
      </c>
      <c r="O25" s="34">
        <f t="shared" si="6"/>
        <v>127.17391304347825</v>
      </c>
      <c r="P25" s="35">
        <f t="shared" si="5"/>
        <v>34.340000000000003</v>
      </c>
      <c r="Q25" s="40">
        <f t="shared" si="8"/>
        <v>254.3478260869565</v>
      </c>
      <c r="R25" s="35"/>
    </row>
    <row r="26" spans="1:18" x14ac:dyDescent="0.3">
      <c r="A26" s="32">
        <v>43567</v>
      </c>
      <c r="B26" s="33" t="s">
        <v>76</v>
      </c>
      <c r="C26" s="34">
        <v>1748</v>
      </c>
      <c r="D26" s="33">
        <v>80</v>
      </c>
      <c r="E26" s="35">
        <v>0</v>
      </c>
      <c r="F26" s="35">
        <v>2080</v>
      </c>
      <c r="G26" s="34">
        <v>332</v>
      </c>
      <c r="H26" s="34">
        <v>0</v>
      </c>
      <c r="I26" s="34">
        <v>2080</v>
      </c>
      <c r="J26" s="34">
        <v>357.31</v>
      </c>
      <c r="K26" s="34">
        <v>2437.31</v>
      </c>
      <c r="L26" s="33" t="s">
        <v>14</v>
      </c>
      <c r="M26" s="34">
        <f t="shared" si="4"/>
        <v>22.857142857142858</v>
      </c>
      <c r="N26" s="27">
        <v>91</v>
      </c>
      <c r="O26" s="34">
        <f t="shared" si="6"/>
        <v>125.71428571428572</v>
      </c>
      <c r="P26" s="35">
        <f t="shared" si="5"/>
        <v>33.94</v>
      </c>
      <c r="Q26" s="40">
        <f t="shared" si="8"/>
        <v>251.42857142857144</v>
      </c>
      <c r="R26" s="35"/>
    </row>
    <row r="27" spans="1:18" x14ac:dyDescent="0.3">
      <c r="A27" s="32">
        <v>43581</v>
      </c>
      <c r="B27" s="33" t="s">
        <v>76</v>
      </c>
      <c r="C27" s="34">
        <v>1672</v>
      </c>
      <c r="D27" s="33">
        <v>80</v>
      </c>
      <c r="E27" s="35">
        <v>0</v>
      </c>
      <c r="F27" s="35">
        <v>2080</v>
      </c>
      <c r="G27" s="34">
        <v>408</v>
      </c>
      <c r="H27" s="34">
        <v>0</v>
      </c>
      <c r="I27" s="34">
        <v>2080</v>
      </c>
      <c r="J27" s="34">
        <v>353.77</v>
      </c>
      <c r="K27" s="34">
        <v>2433.77</v>
      </c>
      <c r="L27" s="33" t="s">
        <v>14</v>
      </c>
      <c r="M27" s="34">
        <f t="shared" si="4"/>
        <v>23.636363636363637</v>
      </c>
      <c r="N27" s="27">
        <v>88</v>
      </c>
      <c r="O27" s="34">
        <f t="shared" si="6"/>
        <v>94.545454545454547</v>
      </c>
      <c r="P27" s="35">
        <f t="shared" si="5"/>
        <v>24.58</v>
      </c>
      <c r="Q27" s="40">
        <f t="shared" si="8"/>
        <v>189.09090909090909</v>
      </c>
      <c r="R27" s="35"/>
    </row>
    <row r="28" spans="1:18" x14ac:dyDescent="0.3">
      <c r="A28" s="29">
        <v>43595</v>
      </c>
      <c r="B28" s="33" t="s">
        <v>76</v>
      </c>
      <c r="C28" s="34">
        <v>1263</v>
      </c>
      <c r="D28" s="36">
        <v>58.5</v>
      </c>
      <c r="E28" s="35">
        <v>0</v>
      </c>
      <c r="F28" s="35">
        <v>2080</v>
      </c>
      <c r="G28" s="34">
        <v>817</v>
      </c>
      <c r="H28" s="34">
        <v>0</v>
      </c>
      <c r="I28" s="34">
        <v>2080</v>
      </c>
      <c r="J28" s="34">
        <v>353.78</v>
      </c>
      <c r="K28" s="34">
        <v>2433.7800000000002</v>
      </c>
      <c r="L28" s="33" t="s">
        <v>14</v>
      </c>
      <c r="M28" s="34">
        <f t="shared" si="4"/>
        <v>31.278195488721803</v>
      </c>
      <c r="N28" s="27">
        <v>66.5</v>
      </c>
      <c r="O28" s="38">
        <f>(M28*0.5)*18.5</f>
        <v>289.32330827067665</v>
      </c>
      <c r="P28" s="35">
        <f t="shared" si="5"/>
        <v>75.22</v>
      </c>
      <c r="Q28" s="40">
        <f t="shared" si="8"/>
        <v>578.6466165413533</v>
      </c>
      <c r="R28" s="35"/>
    </row>
    <row r="29" spans="1:18" hidden="1" x14ac:dyDescent="0.3">
      <c r="A29" s="37" t="s">
        <v>77</v>
      </c>
      <c r="B29" s="33" t="s">
        <v>78</v>
      </c>
      <c r="C29" s="34">
        <v>1008.2</v>
      </c>
      <c r="D29" s="33">
        <v>80</v>
      </c>
      <c r="E29" s="33"/>
      <c r="F29" s="33"/>
      <c r="G29" s="34">
        <v>191.8</v>
      </c>
      <c r="H29" s="34">
        <v>0</v>
      </c>
      <c r="I29" s="34">
        <v>1200</v>
      </c>
      <c r="J29" s="34">
        <v>281.26</v>
      </c>
      <c r="K29" s="34">
        <v>1481.26</v>
      </c>
      <c r="L29" s="33"/>
      <c r="M29" s="34" t="e">
        <f t="shared" si="4"/>
        <v>#DIV/0!</v>
      </c>
      <c r="N29" s="27"/>
      <c r="O29" s="34" t="e">
        <f t="shared" si="6"/>
        <v>#DIV/0!</v>
      </c>
      <c r="P29" s="35" t="e">
        <f t="shared" si="5"/>
        <v>#VALUE!</v>
      </c>
      <c r="Q29" s="34" t="e">
        <f t="shared" si="7"/>
        <v>#DIV/0!</v>
      </c>
      <c r="R29" s="35">
        <v>409.55</v>
      </c>
    </row>
    <row r="30" spans="1:18" hidden="1" x14ac:dyDescent="0.3">
      <c r="A30" s="37" t="s">
        <v>77</v>
      </c>
      <c r="B30" s="33" t="s">
        <v>78</v>
      </c>
      <c r="C30" s="34">
        <v>1008.2</v>
      </c>
      <c r="D30" s="33">
        <v>80</v>
      </c>
      <c r="E30" s="33"/>
      <c r="F30" s="33"/>
      <c r="G30" s="34">
        <v>191.8</v>
      </c>
      <c r="H30" s="34">
        <v>0</v>
      </c>
      <c r="I30" s="34">
        <v>1200</v>
      </c>
      <c r="J30" s="34">
        <v>281.26</v>
      </c>
      <c r="K30" s="34">
        <v>1481.26</v>
      </c>
      <c r="L30" s="33"/>
      <c r="M30" s="34" t="e">
        <f t="shared" si="4"/>
        <v>#DIV/0!</v>
      </c>
      <c r="N30" s="27"/>
      <c r="O30" s="34" t="e">
        <f t="shared" si="6"/>
        <v>#DIV/0!</v>
      </c>
      <c r="P30" s="35" t="e">
        <f t="shared" si="5"/>
        <v>#VALUE!</v>
      </c>
      <c r="Q30" s="34" t="e">
        <f t="shared" si="7"/>
        <v>#DIV/0!</v>
      </c>
      <c r="R30" s="35"/>
    </row>
    <row r="31" spans="1:18" x14ac:dyDescent="0.3">
      <c r="A31" s="37">
        <v>43715</v>
      </c>
      <c r="B31" s="36" t="s">
        <v>79</v>
      </c>
      <c r="C31" s="34"/>
      <c r="D31" s="31">
        <v>107.5</v>
      </c>
      <c r="E31" s="35"/>
      <c r="F31" s="35"/>
      <c r="G31" s="34"/>
      <c r="H31" s="34"/>
      <c r="I31" s="34"/>
      <c r="J31" s="34"/>
      <c r="K31" s="34"/>
      <c r="L31" s="33"/>
      <c r="M31" s="52">
        <v>26.26</v>
      </c>
      <c r="N31" s="27">
        <v>107.5</v>
      </c>
      <c r="O31" s="50">
        <f>(M31*80)+(N31-80)*(M31*1.5)</f>
        <v>3184.0250000000001</v>
      </c>
      <c r="P31" s="35">
        <f t="shared" si="5"/>
        <v>700.49</v>
      </c>
      <c r="Q31" s="40">
        <f t="shared" ref="Q31:Q47" si="9">O31*2</f>
        <v>6368.05</v>
      </c>
      <c r="R31" s="35">
        <v>556.29999999999995</v>
      </c>
    </row>
    <row r="32" spans="1:18" x14ac:dyDescent="0.3">
      <c r="A32" s="32">
        <v>43511</v>
      </c>
      <c r="B32" s="33" t="s">
        <v>80</v>
      </c>
      <c r="C32" s="34">
        <v>1591</v>
      </c>
      <c r="D32" s="33">
        <v>80</v>
      </c>
      <c r="E32" s="35">
        <v>199.83</v>
      </c>
      <c r="F32" s="35">
        <v>1791</v>
      </c>
      <c r="G32" s="34">
        <v>199.83</v>
      </c>
      <c r="H32" s="34">
        <v>200</v>
      </c>
      <c r="I32" s="34">
        <v>1990.83</v>
      </c>
      <c r="J32" s="34">
        <v>360.82</v>
      </c>
      <c r="K32" s="34">
        <v>2351.65</v>
      </c>
      <c r="L32" s="33">
        <v>100152</v>
      </c>
      <c r="M32" s="34">
        <f t="shared" si="4"/>
        <v>20.008341708542712</v>
      </c>
      <c r="N32" s="27">
        <v>99.5</v>
      </c>
      <c r="O32" s="34">
        <f t="shared" si="6"/>
        <v>195.08133165829145</v>
      </c>
      <c r="P32" s="35">
        <f t="shared" si="5"/>
        <v>54.62</v>
      </c>
      <c r="Q32" s="40">
        <f t="shared" si="9"/>
        <v>390.16266331658289</v>
      </c>
      <c r="R32" s="35">
        <v>556.29999999999995</v>
      </c>
    </row>
    <row r="33" spans="1:18" x14ac:dyDescent="0.3">
      <c r="A33" s="32">
        <v>43525</v>
      </c>
      <c r="B33" s="33" t="s">
        <v>80</v>
      </c>
      <c r="C33" s="34">
        <v>1171</v>
      </c>
      <c r="D33" s="33">
        <v>80</v>
      </c>
      <c r="E33" s="35">
        <v>184.39</v>
      </c>
      <c r="F33" s="35">
        <v>1611</v>
      </c>
      <c r="G33" s="34">
        <v>184.39</v>
      </c>
      <c r="H33" s="34">
        <v>440</v>
      </c>
      <c r="I33" s="34">
        <v>1795.39</v>
      </c>
      <c r="J33" s="34">
        <v>341.16</v>
      </c>
      <c r="K33" s="34">
        <v>2136.5500000000002</v>
      </c>
      <c r="L33" s="33">
        <v>100162</v>
      </c>
      <c r="M33" s="34">
        <f t="shared" si="4"/>
        <v>20.060223463687148</v>
      </c>
      <c r="N33" s="27">
        <v>89.5</v>
      </c>
      <c r="O33" s="34">
        <f t="shared" si="6"/>
        <v>95.286061452513948</v>
      </c>
      <c r="P33" s="35">
        <f t="shared" si="5"/>
        <v>26.68</v>
      </c>
      <c r="Q33" s="40">
        <f t="shared" si="9"/>
        <v>190.5721229050279</v>
      </c>
      <c r="R33" s="35"/>
    </row>
    <row r="34" spans="1:18" x14ac:dyDescent="0.3">
      <c r="A34" s="32">
        <v>43539</v>
      </c>
      <c r="B34" s="33" t="s">
        <v>80</v>
      </c>
      <c r="C34" s="34">
        <v>785</v>
      </c>
      <c r="D34" s="36">
        <v>46</v>
      </c>
      <c r="E34" s="35">
        <v>320.07</v>
      </c>
      <c r="F34" s="35">
        <v>1395</v>
      </c>
      <c r="G34" s="34">
        <v>320.07</v>
      </c>
      <c r="H34" s="34">
        <v>610</v>
      </c>
      <c r="I34" s="34">
        <v>1715.07</v>
      </c>
      <c r="J34" s="34">
        <v>333.07</v>
      </c>
      <c r="K34" s="34">
        <v>2048.14</v>
      </c>
      <c r="L34" s="33" t="s">
        <v>14</v>
      </c>
      <c r="M34" s="34">
        <f t="shared" si="4"/>
        <v>22.129935483870966</v>
      </c>
      <c r="N34" s="27">
        <v>77.5</v>
      </c>
      <c r="O34" s="38">
        <f>(M34*0.5)*6</f>
        <v>66.389806451612898</v>
      </c>
      <c r="P34" s="35">
        <f t="shared" si="5"/>
        <v>17.93</v>
      </c>
      <c r="Q34" s="40">
        <f t="shared" si="9"/>
        <v>132.7796129032258</v>
      </c>
      <c r="R34" s="35"/>
    </row>
    <row r="35" spans="1:18" x14ac:dyDescent="0.3">
      <c r="A35" s="32">
        <v>43553</v>
      </c>
      <c r="B35" s="33" t="s">
        <v>80</v>
      </c>
      <c r="C35" s="34">
        <v>1090</v>
      </c>
      <c r="D35" s="36">
        <v>46</v>
      </c>
      <c r="E35" s="35">
        <v>353.63</v>
      </c>
      <c r="F35" s="35">
        <v>1530</v>
      </c>
      <c r="G35" s="34">
        <v>353.63</v>
      </c>
      <c r="H35" s="34">
        <v>440</v>
      </c>
      <c r="I35" s="34">
        <v>1883.63</v>
      </c>
      <c r="J35" s="34">
        <v>347.73</v>
      </c>
      <c r="K35" s="34">
        <v>2231.36</v>
      </c>
      <c r="L35" s="33" t="s">
        <v>14</v>
      </c>
      <c r="M35" s="34">
        <f t="shared" si="4"/>
        <v>22.160352941176473</v>
      </c>
      <c r="N35" s="27">
        <v>85</v>
      </c>
      <c r="O35" s="38">
        <f>(M35*0.5)*6</f>
        <v>66.481058823529423</v>
      </c>
      <c r="P35" s="35">
        <f t="shared" si="5"/>
        <v>17.95</v>
      </c>
      <c r="Q35" s="40">
        <f t="shared" si="9"/>
        <v>132.96211764705885</v>
      </c>
      <c r="R35" s="35"/>
    </row>
    <row r="36" spans="1:18" x14ac:dyDescent="0.3">
      <c r="A36" s="32">
        <v>43567</v>
      </c>
      <c r="B36" s="33" t="s">
        <v>80</v>
      </c>
      <c r="C36" s="34">
        <v>1084</v>
      </c>
      <c r="D36" s="33">
        <v>80</v>
      </c>
      <c r="E36" s="35">
        <v>367.04</v>
      </c>
      <c r="F36" s="35">
        <v>1584</v>
      </c>
      <c r="G36" s="34">
        <v>367.04</v>
      </c>
      <c r="H36" s="34">
        <v>500</v>
      </c>
      <c r="I36" s="34">
        <v>1951.04</v>
      </c>
      <c r="J36" s="34">
        <v>345.1</v>
      </c>
      <c r="K36" s="34">
        <v>2296.14</v>
      </c>
      <c r="L36" s="33" t="s">
        <v>14</v>
      </c>
      <c r="M36" s="34">
        <f t="shared" si="4"/>
        <v>22.170909090909092</v>
      </c>
      <c r="N36" s="27">
        <v>88</v>
      </c>
      <c r="O36" s="34">
        <f t="shared" si="6"/>
        <v>88.683636363636367</v>
      </c>
      <c r="P36" s="35">
        <f t="shared" si="5"/>
        <v>23.94</v>
      </c>
      <c r="Q36" s="40">
        <f t="shared" si="9"/>
        <v>177.36727272727273</v>
      </c>
      <c r="R36" s="35"/>
    </row>
    <row r="37" spans="1:18" x14ac:dyDescent="0.3">
      <c r="A37" s="32">
        <v>43581</v>
      </c>
      <c r="B37" s="33" t="s">
        <v>80</v>
      </c>
      <c r="C37" s="34">
        <v>1638</v>
      </c>
      <c r="D37" s="33">
        <v>80</v>
      </c>
      <c r="E37" s="35">
        <v>384.87</v>
      </c>
      <c r="F37" s="35">
        <v>1638</v>
      </c>
      <c r="G37" s="34">
        <v>384.87</v>
      </c>
      <c r="H37" s="34">
        <v>0</v>
      </c>
      <c r="I37" s="34">
        <v>2022.87</v>
      </c>
      <c r="J37" s="34">
        <v>348.46</v>
      </c>
      <c r="K37" s="34">
        <v>2371.33</v>
      </c>
      <c r="L37" s="33" t="s">
        <v>14</v>
      </c>
      <c r="M37" s="34">
        <f t="shared" si="4"/>
        <v>22.229340659340657</v>
      </c>
      <c r="N37" s="27">
        <v>91</v>
      </c>
      <c r="O37" s="34">
        <f t="shared" si="6"/>
        <v>122.26137362637361</v>
      </c>
      <c r="P37" s="35">
        <f t="shared" si="5"/>
        <v>31.79</v>
      </c>
      <c r="Q37" s="40">
        <f t="shared" si="9"/>
        <v>244.52274725274722</v>
      </c>
      <c r="R37" s="35"/>
    </row>
    <row r="38" spans="1:18" x14ac:dyDescent="0.3">
      <c r="A38" s="32">
        <v>43595</v>
      </c>
      <c r="B38" s="33" t="s">
        <v>80</v>
      </c>
      <c r="C38" s="34">
        <v>1692</v>
      </c>
      <c r="D38" s="33">
        <v>80</v>
      </c>
      <c r="E38" s="35">
        <v>407.9</v>
      </c>
      <c r="F38" s="35">
        <v>1692</v>
      </c>
      <c r="G38" s="34">
        <v>407.9</v>
      </c>
      <c r="H38" s="34">
        <v>0</v>
      </c>
      <c r="I38" s="34">
        <v>2099.9</v>
      </c>
      <c r="J38" s="34">
        <v>355.62</v>
      </c>
      <c r="K38" s="34">
        <v>2455.52</v>
      </c>
      <c r="L38" s="33" t="s">
        <v>14</v>
      </c>
      <c r="M38" s="34">
        <f t="shared" si="4"/>
        <v>22.339361702127661</v>
      </c>
      <c r="N38" s="27">
        <v>94</v>
      </c>
      <c r="O38" s="34">
        <f t="shared" si="6"/>
        <v>156.37553191489363</v>
      </c>
      <c r="P38" s="35">
        <f t="shared" si="5"/>
        <v>40.659999999999997</v>
      </c>
      <c r="Q38" s="40">
        <f t="shared" si="9"/>
        <v>312.75106382978726</v>
      </c>
      <c r="R38" s="35"/>
    </row>
    <row r="39" spans="1:18" x14ac:dyDescent="0.3">
      <c r="A39" s="32">
        <v>43609</v>
      </c>
      <c r="B39" s="33" t="s">
        <v>80</v>
      </c>
      <c r="C39" s="34">
        <v>1243</v>
      </c>
      <c r="D39" s="33">
        <v>80</v>
      </c>
      <c r="E39" s="35">
        <v>404.07</v>
      </c>
      <c r="F39" s="35">
        <v>1683</v>
      </c>
      <c r="G39" s="34">
        <v>404.07</v>
      </c>
      <c r="H39" s="34">
        <v>440</v>
      </c>
      <c r="I39" s="34">
        <v>2087.0700000000002</v>
      </c>
      <c r="J39" s="34">
        <v>354.43</v>
      </c>
      <c r="K39" s="34">
        <v>2441.5</v>
      </c>
      <c r="L39" s="33" t="s">
        <v>14</v>
      </c>
      <c r="M39" s="34">
        <f t="shared" si="4"/>
        <v>19.876857142857144</v>
      </c>
      <c r="N39" s="27">
        <v>105</v>
      </c>
      <c r="O39" s="34">
        <f t="shared" si="6"/>
        <v>248.46071428571429</v>
      </c>
      <c r="P39" s="35">
        <f t="shared" si="5"/>
        <v>62.12</v>
      </c>
      <c r="Q39" s="40">
        <f t="shared" si="9"/>
        <v>496.92142857142858</v>
      </c>
      <c r="R39" s="35"/>
    </row>
    <row r="40" spans="1:18" x14ac:dyDescent="0.3">
      <c r="A40" s="32">
        <v>43623</v>
      </c>
      <c r="B40" s="33" t="s">
        <v>80</v>
      </c>
      <c r="C40" s="34">
        <v>1512</v>
      </c>
      <c r="D40" s="33">
        <v>80</v>
      </c>
      <c r="E40" s="35">
        <v>349.15</v>
      </c>
      <c r="F40" s="35">
        <v>1512</v>
      </c>
      <c r="G40" s="34">
        <v>349.15</v>
      </c>
      <c r="H40" s="34">
        <v>0</v>
      </c>
      <c r="I40" s="34">
        <v>1861.15</v>
      </c>
      <c r="J40" s="34">
        <v>333.44</v>
      </c>
      <c r="K40" s="34">
        <v>2194.59</v>
      </c>
      <c r="L40" s="33" t="s">
        <v>14</v>
      </c>
      <c r="M40" s="34">
        <f t="shared" si="4"/>
        <v>20.794972067039108</v>
      </c>
      <c r="N40" s="27">
        <v>89.5</v>
      </c>
      <c r="O40" s="34">
        <f t="shared" si="6"/>
        <v>98.776117318435766</v>
      </c>
      <c r="P40" s="35">
        <f t="shared" si="5"/>
        <v>24.69</v>
      </c>
      <c r="Q40" s="40">
        <f t="shared" si="9"/>
        <v>197.55223463687153</v>
      </c>
      <c r="R40" s="35"/>
    </row>
    <row r="41" spans="1:18" x14ac:dyDescent="0.3">
      <c r="A41" s="32">
        <v>43637</v>
      </c>
      <c r="B41" s="33" t="s">
        <v>80</v>
      </c>
      <c r="C41" s="34">
        <v>1549</v>
      </c>
      <c r="D41" s="33">
        <v>80</v>
      </c>
      <c r="E41" s="35">
        <v>272.8</v>
      </c>
      <c r="F41" s="35">
        <v>1989</v>
      </c>
      <c r="G41" s="34">
        <v>272.8</v>
      </c>
      <c r="H41" s="34">
        <v>440</v>
      </c>
      <c r="I41" s="34">
        <v>2261.8000000000002</v>
      </c>
      <c r="J41" s="34">
        <v>370.66</v>
      </c>
      <c r="K41" s="34">
        <v>2632.46</v>
      </c>
      <c r="L41" s="33" t="s">
        <v>14</v>
      </c>
      <c r="M41" s="34">
        <f t="shared" si="4"/>
        <v>20.468778280542988</v>
      </c>
      <c r="N41" s="27">
        <v>110.5</v>
      </c>
      <c r="O41" s="34">
        <f t="shared" si="6"/>
        <v>312.14886877828059</v>
      </c>
      <c r="P41" s="35">
        <f t="shared" si="5"/>
        <v>74.92</v>
      </c>
      <c r="Q41" s="40">
        <f t="shared" si="9"/>
        <v>624.29773755656117</v>
      </c>
      <c r="R41" s="35"/>
    </row>
    <row r="42" spans="1:18" x14ac:dyDescent="0.3">
      <c r="A42" s="32">
        <v>43651</v>
      </c>
      <c r="B42" s="33" t="s">
        <v>80</v>
      </c>
      <c r="C42" s="34">
        <v>1530</v>
      </c>
      <c r="D42" s="33">
        <v>80</v>
      </c>
      <c r="E42" s="35">
        <v>177.42</v>
      </c>
      <c r="F42" s="35">
        <v>1530</v>
      </c>
      <c r="G42" s="34">
        <v>177.42</v>
      </c>
      <c r="H42" s="34">
        <v>0</v>
      </c>
      <c r="I42" s="34">
        <v>1707.42</v>
      </c>
      <c r="J42" s="34">
        <v>319.14999999999998</v>
      </c>
      <c r="K42" s="34">
        <v>2026.57</v>
      </c>
      <c r="L42" s="33" t="s">
        <v>14</v>
      </c>
      <c r="M42" s="34">
        <f t="shared" si="4"/>
        <v>20.087294117647058</v>
      </c>
      <c r="N42" s="27">
        <v>85</v>
      </c>
      <c r="O42" s="34">
        <f t="shared" si="6"/>
        <v>50.218235294117648</v>
      </c>
      <c r="P42" s="35">
        <f t="shared" si="5"/>
        <v>12.05</v>
      </c>
      <c r="Q42" s="40">
        <f t="shared" si="9"/>
        <v>100.4364705882353</v>
      </c>
      <c r="R42" s="35"/>
    </row>
    <row r="43" spans="1:18" x14ac:dyDescent="0.3">
      <c r="A43" s="32">
        <v>43665</v>
      </c>
      <c r="B43" s="33" t="s">
        <v>80</v>
      </c>
      <c r="C43" s="34">
        <v>1458</v>
      </c>
      <c r="D43" s="36">
        <v>49</v>
      </c>
      <c r="E43" s="35">
        <v>171.26</v>
      </c>
      <c r="F43" s="35">
        <v>1458</v>
      </c>
      <c r="G43" s="34">
        <v>171.26</v>
      </c>
      <c r="H43" s="34">
        <v>0</v>
      </c>
      <c r="I43" s="34">
        <v>1629.26</v>
      </c>
      <c r="J43" s="34">
        <v>311.91000000000003</v>
      </c>
      <c r="K43" s="34">
        <v>1941.17</v>
      </c>
      <c r="L43" s="33" t="s">
        <v>14</v>
      </c>
      <c r="M43" s="34">
        <f t="shared" si="4"/>
        <v>20.11432098765432</v>
      </c>
      <c r="N43" s="27">
        <v>81</v>
      </c>
      <c r="O43" s="38">
        <f>(M43*0.5)*9</f>
        <v>90.514444444444436</v>
      </c>
      <c r="P43" s="35">
        <f t="shared" si="5"/>
        <v>20.82</v>
      </c>
      <c r="Q43" s="40">
        <f t="shared" si="9"/>
        <v>181.02888888888887</v>
      </c>
      <c r="R43" s="35"/>
    </row>
    <row r="44" spans="1:18" x14ac:dyDescent="0.3">
      <c r="A44" s="32">
        <v>43679</v>
      </c>
      <c r="B44" s="33" t="s">
        <v>80</v>
      </c>
      <c r="C44" s="34">
        <v>1485</v>
      </c>
      <c r="D44" s="36">
        <v>44.5</v>
      </c>
      <c r="E44" s="35">
        <v>173.56</v>
      </c>
      <c r="F44" s="35">
        <v>1485</v>
      </c>
      <c r="G44" s="34">
        <v>173.57</v>
      </c>
      <c r="H44" s="34">
        <v>-0.01</v>
      </c>
      <c r="I44" s="34">
        <v>1658.56</v>
      </c>
      <c r="J44" s="34">
        <v>314.62</v>
      </c>
      <c r="K44" s="34">
        <v>1973.18</v>
      </c>
      <c r="L44" s="33" t="s">
        <v>14</v>
      </c>
      <c r="M44" s="34">
        <f t="shared" si="4"/>
        <v>20.103757575757577</v>
      </c>
      <c r="N44" s="27">
        <v>82.5</v>
      </c>
      <c r="O44" s="38">
        <f>(M44*0.5)*4.5</f>
        <v>45.233454545454549</v>
      </c>
      <c r="P44" s="35">
        <f t="shared" si="5"/>
        <v>10.4</v>
      </c>
      <c r="Q44" s="40">
        <f t="shared" si="9"/>
        <v>90.466909090909098</v>
      </c>
      <c r="R44" s="35"/>
    </row>
    <row r="45" spans="1:18" x14ac:dyDescent="0.3">
      <c r="A45" s="32">
        <v>43693</v>
      </c>
      <c r="B45" s="33" t="s">
        <v>80</v>
      </c>
      <c r="C45" s="34">
        <v>927</v>
      </c>
      <c r="D45" s="33">
        <v>80</v>
      </c>
      <c r="E45" s="35">
        <v>125.67</v>
      </c>
      <c r="F45" s="35">
        <v>927</v>
      </c>
      <c r="G45" s="34">
        <v>125.67</v>
      </c>
      <c r="H45" s="34">
        <v>0</v>
      </c>
      <c r="I45" s="34">
        <v>1052.67</v>
      </c>
      <c r="J45" s="34">
        <v>258.33</v>
      </c>
      <c r="K45" s="34">
        <v>1311</v>
      </c>
      <c r="L45" s="33" t="s">
        <v>14</v>
      </c>
      <c r="M45" s="38">
        <v>16</v>
      </c>
      <c r="N45" s="27">
        <v>106.5</v>
      </c>
      <c r="O45" s="34">
        <f t="shared" si="6"/>
        <v>212</v>
      </c>
      <c r="P45" s="35">
        <f t="shared" si="5"/>
        <v>46.64</v>
      </c>
      <c r="Q45" s="40">
        <f t="shared" si="9"/>
        <v>424</v>
      </c>
      <c r="R45" s="35"/>
    </row>
    <row r="46" spans="1:18" x14ac:dyDescent="0.3">
      <c r="A46" s="32">
        <v>43707</v>
      </c>
      <c r="B46" s="33" t="s">
        <v>80</v>
      </c>
      <c r="C46" s="34">
        <v>1872</v>
      </c>
      <c r="D46" s="33">
        <v>80</v>
      </c>
      <c r="E46" s="35">
        <v>247.29</v>
      </c>
      <c r="F46" s="35">
        <v>1872</v>
      </c>
      <c r="G46" s="34">
        <v>247.29</v>
      </c>
      <c r="H46" s="34">
        <v>0</v>
      </c>
      <c r="I46" s="34">
        <v>2119.29</v>
      </c>
      <c r="J46" s="34">
        <v>357.42</v>
      </c>
      <c r="K46" s="34">
        <v>2476.71</v>
      </c>
      <c r="L46" s="33" t="s">
        <v>14</v>
      </c>
      <c r="M46" s="34">
        <f t="shared" si="4"/>
        <v>20.377788461538461</v>
      </c>
      <c r="N46" s="27">
        <v>104</v>
      </c>
      <c r="O46" s="34">
        <f t="shared" si="6"/>
        <v>244.53346153846155</v>
      </c>
      <c r="P46" s="35">
        <f t="shared" si="5"/>
        <v>53.8</v>
      </c>
      <c r="Q46" s="40">
        <f t="shared" si="9"/>
        <v>489.0669230769231</v>
      </c>
      <c r="R46" s="35"/>
    </row>
    <row r="47" spans="1:18" x14ac:dyDescent="0.3">
      <c r="A47" s="32">
        <v>43721</v>
      </c>
      <c r="B47" s="33" t="s">
        <v>80</v>
      </c>
      <c r="C47" s="34">
        <v>900</v>
      </c>
      <c r="D47" s="36">
        <v>50</v>
      </c>
      <c r="E47" s="35">
        <v>106.08</v>
      </c>
      <c r="F47" s="35">
        <v>900</v>
      </c>
      <c r="G47" s="34">
        <v>106.08</v>
      </c>
      <c r="H47" s="34">
        <v>0</v>
      </c>
      <c r="I47" s="34">
        <v>1006.08</v>
      </c>
      <c r="J47" s="34">
        <v>193.81</v>
      </c>
      <c r="K47" s="34">
        <v>1199.8900000000001</v>
      </c>
      <c r="L47" s="33" t="s">
        <v>14</v>
      </c>
      <c r="M47" s="34">
        <f t="shared" si="4"/>
        <v>20.121600000000001</v>
      </c>
      <c r="N47" s="27">
        <v>50</v>
      </c>
      <c r="O47" s="38">
        <f>(M47*0.5)*10</f>
        <v>100.608</v>
      </c>
      <c r="P47" s="35">
        <f t="shared" si="5"/>
        <v>21.13</v>
      </c>
      <c r="Q47" s="40">
        <f t="shared" si="9"/>
        <v>201.21600000000001</v>
      </c>
      <c r="R47" s="35"/>
    </row>
    <row r="48" spans="1:18" hidden="1" x14ac:dyDescent="0.3">
      <c r="A48" s="37" t="s">
        <v>77</v>
      </c>
      <c r="B48" s="33" t="s">
        <v>81</v>
      </c>
      <c r="C48" s="42">
        <v>2217</v>
      </c>
      <c r="D48" s="33">
        <v>80</v>
      </c>
      <c r="E48" s="33">
        <v>0</v>
      </c>
      <c r="F48" s="33">
        <v>2217</v>
      </c>
      <c r="G48" s="34">
        <v>438.59</v>
      </c>
      <c r="H48" s="34">
        <v>0</v>
      </c>
      <c r="I48" s="34">
        <v>2655.59</v>
      </c>
      <c r="J48" s="34">
        <v>379.8</v>
      </c>
      <c r="K48" s="34">
        <v>3035.39</v>
      </c>
      <c r="L48" s="33" t="s">
        <v>14</v>
      </c>
      <c r="M48" s="34" t="e">
        <f t="shared" si="4"/>
        <v>#DIV/0!</v>
      </c>
      <c r="N48" s="27"/>
      <c r="O48" s="34" t="e">
        <f t="shared" si="6"/>
        <v>#DIV/0!</v>
      </c>
      <c r="P48" s="35" t="e">
        <f t="shared" si="5"/>
        <v>#VALUE!</v>
      </c>
      <c r="Q48" s="34" t="e">
        <f t="shared" si="7"/>
        <v>#DIV/0!</v>
      </c>
      <c r="R48" s="35">
        <v>409.55</v>
      </c>
    </row>
    <row r="49" spans="1:18" hidden="1" x14ac:dyDescent="0.3">
      <c r="A49" s="37" t="s">
        <v>77</v>
      </c>
      <c r="B49" s="33" t="s">
        <v>81</v>
      </c>
      <c r="C49" s="34">
        <v>1696</v>
      </c>
      <c r="D49" s="33">
        <v>80</v>
      </c>
      <c r="E49" s="33">
        <v>0</v>
      </c>
      <c r="F49" s="33">
        <v>1746</v>
      </c>
      <c r="G49" s="34">
        <v>316.35000000000002</v>
      </c>
      <c r="H49" s="34">
        <v>50</v>
      </c>
      <c r="I49" s="34">
        <v>2062.35</v>
      </c>
      <c r="J49" s="34">
        <v>285.10000000000002</v>
      </c>
      <c r="K49" s="34">
        <v>2347.4499999999998</v>
      </c>
      <c r="L49" s="33" t="s">
        <v>14</v>
      </c>
      <c r="M49" s="34" t="e">
        <f t="shared" si="4"/>
        <v>#DIV/0!</v>
      </c>
      <c r="N49" s="27"/>
      <c r="O49" s="34" t="e">
        <f t="shared" si="6"/>
        <v>#DIV/0!</v>
      </c>
      <c r="P49" s="35" t="e">
        <f t="shared" si="5"/>
        <v>#VALUE!</v>
      </c>
      <c r="Q49" s="34" t="e">
        <f t="shared" si="7"/>
        <v>#DIV/0!</v>
      </c>
      <c r="R49" s="35"/>
    </row>
    <row r="50" spans="1:18" hidden="1" x14ac:dyDescent="0.3">
      <c r="A50" s="37" t="s">
        <v>77</v>
      </c>
      <c r="B50" s="33" t="s">
        <v>81</v>
      </c>
      <c r="C50" s="34">
        <v>1795</v>
      </c>
      <c r="D50" s="33">
        <v>80</v>
      </c>
      <c r="E50" s="33">
        <v>0</v>
      </c>
      <c r="F50" s="33">
        <v>1845</v>
      </c>
      <c r="G50" s="34">
        <v>336.06</v>
      </c>
      <c r="H50" s="34">
        <v>50</v>
      </c>
      <c r="I50" s="34">
        <v>2181.06</v>
      </c>
      <c r="J50" s="34">
        <v>294.89999999999998</v>
      </c>
      <c r="K50" s="34">
        <v>2475.96</v>
      </c>
      <c r="L50" s="33" t="s">
        <v>14</v>
      </c>
      <c r="M50" s="34" t="e">
        <f t="shared" si="4"/>
        <v>#DIV/0!</v>
      </c>
      <c r="N50" s="27"/>
      <c r="O50" s="34" t="e">
        <f t="shared" si="6"/>
        <v>#DIV/0!</v>
      </c>
      <c r="P50" s="35" t="e">
        <f t="shared" si="5"/>
        <v>#VALUE!</v>
      </c>
      <c r="Q50" s="34" t="e">
        <f t="shared" si="7"/>
        <v>#DIV/0!</v>
      </c>
      <c r="R50" s="35"/>
    </row>
    <row r="51" spans="1:18" hidden="1" x14ac:dyDescent="0.3">
      <c r="A51" s="37" t="s">
        <v>77</v>
      </c>
      <c r="B51" s="33" t="s">
        <v>81</v>
      </c>
      <c r="C51" s="34">
        <v>1417</v>
      </c>
      <c r="D51" s="33">
        <v>80</v>
      </c>
      <c r="E51" s="33">
        <v>0</v>
      </c>
      <c r="F51" s="33">
        <v>1467</v>
      </c>
      <c r="G51" s="34">
        <v>260.81</v>
      </c>
      <c r="H51" s="34">
        <v>50</v>
      </c>
      <c r="I51" s="34">
        <v>1727.81</v>
      </c>
      <c r="J51" s="34">
        <v>255.85</v>
      </c>
      <c r="K51" s="34">
        <v>1983.66</v>
      </c>
      <c r="L51" s="33" t="s">
        <v>14</v>
      </c>
      <c r="M51" s="34" t="e">
        <f t="shared" si="4"/>
        <v>#DIV/0!</v>
      </c>
      <c r="N51" s="27"/>
      <c r="O51" s="34" t="e">
        <f t="shared" si="6"/>
        <v>#DIV/0!</v>
      </c>
      <c r="P51" s="35" t="e">
        <f t="shared" si="5"/>
        <v>#VALUE!</v>
      </c>
      <c r="Q51" s="34" t="e">
        <f t="shared" si="7"/>
        <v>#DIV/0!</v>
      </c>
      <c r="R51" s="35"/>
    </row>
    <row r="52" spans="1:18" hidden="1" x14ac:dyDescent="0.3">
      <c r="A52" s="37" t="s">
        <v>77</v>
      </c>
      <c r="B52" s="33" t="s">
        <v>81</v>
      </c>
      <c r="C52" s="34">
        <v>1420.3</v>
      </c>
      <c r="D52" s="33">
        <v>79</v>
      </c>
      <c r="E52" s="33">
        <v>0</v>
      </c>
      <c r="F52" s="33">
        <v>1777.5</v>
      </c>
      <c r="G52" s="34">
        <v>322.2</v>
      </c>
      <c r="H52" s="34">
        <v>35</v>
      </c>
      <c r="I52" s="34">
        <v>1777.5</v>
      </c>
      <c r="J52" s="34">
        <v>276.14</v>
      </c>
      <c r="K52" s="34">
        <v>2053.64</v>
      </c>
      <c r="L52" s="33" t="s">
        <v>14</v>
      </c>
      <c r="M52" s="34" t="e">
        <f t="shared" si="4"/>
        <v>#DIV/0!</v>
      </c>
      <c r="N52" s="27"/>
      <c r="O52" s="34" t="e">
        <f t="shared" si="6"/>
        <v>#DIV/0!</v>
      </c>
      <c r="P52" s="35" t="e">
        <f t="shared" si="5"/>
        <v>#VALUE!</v>
      </c>
      <c r="Q52" s="34" t="e">
        <f t="shared" si="7"/>
        <v>#DIV/0!</v>
      </c>
      <c r="R52" s="35"/>
    </row>
    <row r="53" spans="1:18" hidden="1" x14ac:dyDescent="0.3">
      <c r="A53" s="37" t="s">
        <v>77</v>
      </c>
      <c r="B53" s="33" t="s">
        <v>81</v>
      </c>
      <c r="C53" s="34">
        <v>812.03</v>
      </c>
      <c r="D53" s="33">
        <v>40</v>
      </c>
      <c r="E53" s="33">
        <v>360</v>
      </c>
      <c r="F53" s="33">
        <v>540</v>
      </c>
      <c r="G53" s="34">
        <v>87.97</v>
      </c>
      <c r="H53" s="34">
        <v>0</v>
      </c>
      <c r="I53" s="34">
        <v>900</v>
      </c>
      <c r="J53" s="34">
        <v>139.82</v>
      </c>
      <c r="K53" s="34">
        <v>1039.82</v>
      </c>
      <c r="L53" s="33" t="s">
        <v>14</v>
      </c>
      <c r="M53" s="34" t="e">
        <f t="shared" si="4"/>
        <v>#DIV/0!</v>
      </c>
      <c r="N53" s="27"/>
      <c r="O53" s="34" t="e">
        <f t="shared" si="6"/>
        <v>#DIV/0!</v>
      </c>
      <c r="P53" s="35" t="e">
        <f t="shared" si="5"/>
        <v>#VALUE!</v>
      </c>
      <c r="Q53" s="34" t="e">
        <f t="shared" si="7"/>
        <v>#DIV/0!</v>
      </c>
      <c r="R53" s="35"/>
    </row>
    <row r="54" spans="1:18" hidden="1" x14ac:dyDescent="0.3">
      <c r="A54" s="37" t="s">
        <v>77</v>
      </c>
      <c r="B54" s="33" t="s">
        <v>81</v>
      </c>
      <c r="C54" s="34">
        <v>500.02</v>
      </c>
      <c r="D54" s="33">
        <v>24.63</v>
      </c>
      <c r="E54" s="33">
        <v>0</v>
      </c>
      <c r="F54" s="33">
        <v>554.17999999999995</v>
      </c>
      <c r="G54" s="34">
        <v>54.16</v>
      </c>
      <c r="H54" s="34">
        <v>0</v>
      </c>
      <c r="I54" s="34">
        <v>554.17999999999995</v>
      </c>
      <c r="J54" s="34">
        <v>88.09</v>
      </c>
      <c r="K54" s="34">
        <v>642.27</v>
      </c>
      <c r="L54" s="33" t="s">
        <v>14</v>
      </c>
      <c r="M54" s="34" t="e">
        <f t="shared" si="4"/>
        <v>#DIV/0!</v>
      </c>
      <c r="N54" s="27"/>
      <c r="O54" s="34" t="e">
        <f t="shared" si="6"/>
        <v>#DIV/0!</v>
      </c>
      <c r="P54" s="35" t="e">
        <f t="shared" si="5"/>
        <v>#VALUE!</v>
      </c>
      <c r="Q54" s="34" t="e">
        <f t="shared" si="7"/>
        <v>#DIV/0!</v>
      </c>
      <c r="R54" s="35"/>
    </row>
    <row r="55" spans="1:18" hidden="1" x14ac:dyDescent="0.3">
      <c r="A55" s="37" t="s">
        <v>77</v>
      </c>
      <c r="B55" s="33" t="s">
        <v>81</v>
      </c>
      <c r="C55" s="34">
        <v>700.39</v>
      </c>
      <c r="D55" s="33">
        <v>34.5</v>
      </c>
      <c r="E55" s="33">
        <v>0</v>
      </c>
      <c r="F55" s="33">
        <v>776.25</v>
      </c>
      <c r="G55" s="34">
        <v>75.86</v>
      </c>
      <c r="H55" s="34">
        <v>0</v>
      </c>
      <c r="I55" s="34">
        <v>776.25</v>
      </c>
      <c r="J55" s="34">
        <v>123.39</v>
      </c>
      <c r="K55" s="34">
        <v>899.64</v>
      </c>
      <c r="L55" s="33" t="s">
        <v>14</v>
      </c>
      <c r="M55" s="34" t="e">
        <f t="shared" si="4"/>
        <v>#DIV/0!</v>
      </c>
      <c r="N55" s="27"/>
      <c r="O55" s="34" t="e">
        <f t="shared" si="6"/>
        <v>#DIV/0!</v>
      </c>
      <c r="P55" s="35" t="e">
        <f t="shared" si="5"/>
        <v>#VALUE!</v>
      </c>
      <c r="Q55" s="34" t="e">
        <f t="shared" si="7"/>
        <v>#DIV/0!</v>
      </c>
      <c r="R55" s="35"/>
    </row>
    <row r="56" spans="1:18" hidden="1" x14ac:dyDescent="0.3">
      <c r="A56" s="37" t="s">
        <v>77</v>
      </c>
      <c r="B56" s="33" t="s">
        <v>82</v>
      </c>
      <c r="C56" s="34">
        <v>1008.2</v>
      </c>
      <c r="D56" s="33">
        <v>80</v>
      </c>
      <c r="E56" s="33"/>
      <c r="F56" s="33"/>
      <c r="G56" s="34">
        <v>191.8</v>
      </c>
      <c r="H56" s="34">
        <v>0</v>
      </c>
      <c r="I56" s="34">
        <v>1200</v>
      </c>
      <c r="J56" s="34">
        <v>281.26</v>
      </c>
      <c r="K56" s="34">
        <v>1481.26</v>
      </c>
      <c r="L56" s="33"/>
      <c r="M56" s="34" t="e">
        <f t="shared" si="4"/>
        <v>#DIV/0!</v>
      </c>
      <c r="N56" s="27"/>
      <c r="O56" s="34" t="e">
        <f t="shared" si="6"/>
        <v>#DIV/0!</v>
      </c>
      <c r="P56" s="35" t="e">
        <f t="shared" si="5"/>
        <v>#VALUE!</v>
      </c>
      <c r="Q56" s="34" t="e">
        <f t="shared" si="7"/>
        <v>#DIV/0!</v>
      </c>
      <c r="R56" s="35">
        <v>409.55</v>
      </c>
    </row>
    <row r="57" spans="1:18" hidden="1" x14ac:dyDescent="0.3">
      <c r="A57" s="37" t="s">
        <v>77</v>
      </c>
      <c r="B57" s="33" t="s">
        <v>82</v>
      </c>
      <c r="C57" s="34">
        <v>1008.2</v>
      </c>
      <c r="D57" s="33">
        <v>80</v>
      </c>
      <c r="E57" s="33"/>
      <c r="F57" s="33"/>
      <c r="G57" s="34">
        <v>191.8</v>
      </c>
      <c r="H57" s="34">
        <v>0</v>
      </c>
      <c r="I57" s="34">
        <v>1200</v>
      </c>
      <c r="J57" s="34">
        <v>281.26</v>
      </c>
      <c r="K57" s="34">
        <v>1481.26</v>
      </c>
      <c r="L57" s="33"/>
      <c r="M57" s="34" t="e">
        <f t="shared" si="4"/>
        <v>#DIV/0!</v>
      </c>
      <c r="N57" s="27"/>
      <c r="O57" s="34" t="e">
        <f t="shared" si="6"/>
        <v>#DIV/0!</v>
      </c>
      <c r="P57" s="35" t="e">
        <f t="shared" si="5"/>
        <v>#VALUE!</v>
      </c>
      <c r="Q57" s="34" t="e">
        <f t="shared" si="7"/>
        <v>#DIV/0!</v>
      </c>
      <c r="R57" s="35"/>
    </row>
    <row r="58" spans="1:18" hidden="1" x14ac:dyDescent="0.3">
      <c r="A58" s="37" t="s">
        <v>77</v>
      </c>
      <c r="B58" s="33" t="s">
        <v>82</v>
      </c>
      <c r="C58" s="34">
        <v>1008.2</v>
      </c>
      <c r="D58" s="33">
        <v>80</v>
      </c>
      <c r="E58" s="33"/>
      <c r="F58" s="33"/>
      <c r="G58" s="34">
        <v>191.8</v>
      </c>
      <c r="H58" s="34">
        <v>0</v>
      </c>
      <c r="I58" s="34">
        <v>1200</v>
      </c>
      <c r="J58" s="34">
        <v>281.26</v>
      </c>
      <c r="K58" s="34">
        <v>1481.26</v>
      </c>
      <c r="L58" s="33"/>
      <c r="M58" s="34" t="e">
        <f t="shared" si="4"/>
        <v>#DIV/0!</v>
      </c>
      <c r="N58" s="27"/>
      <c r="O58" s="34" t="e">
        <f t="shared" si="6"/>
        <v>#DIV/0!</v>
      </c>
      <c r="P58" s="35" t="e">
        <f t="shared" si="5"/>
        <v>#VALUE!</v>
      </c>
      <c r="Q58" s="34" t="e">
        <f t="shared" si="7"/>
        <v>#DIV/0!</v>
      </c>
      <c r="R58" s="35"/>
    </row>
    <row r="59" spans="1:18" hidden="1" x14ac:dyDescent="0.3">
      <c r="A59" s="37" t="s">
        <v>77</v>
      </c>
      <c r="B59" s="33" t="s">
        <v>82</v>
      </c>
      <c r="C59" s="34">
        <v>1038.02</v>
      </c>
      <c r="D59" s="33">
        <v>80</v>
      </c>
      <c r="E59" s="33"/>
      <c r="F59" s="33"/>
      <c r="G59" s="34">
        <v>161.97999999999999</v>
      </c>
      <c r="H59" s="34">
        <v>0</v>
      </c>
      <c r="I59" s="34">
        <v>1200</v>
      </c>
      <c r="J59" s="34">
        <v>281.26</v>
      </c>
      <c r="K59" s="34">
        <v>1481.26</v>
      </c>
      <c r="L59" s="33" t="s">
        <v>14</v>
      </c>
      <c r="M59" s="34" t="e">
        <f t="shared" si="4"/>
        <v>#DIV/0!</v>
      </c>
      <c r="N59" s="27"/>
      <c r="O59" s="34" t="e">
        <f t="shared" si="6"/>
        <v>#DIV/0!</v>
      </c>
      <c r="P59" s="35" t="e">
        <f t="shared" si="5"/>
        <v>#VALUE!</v>
      </c>
      <c r="Q59" s="34" t="e">
        <f t="shared" si="7"/>
        <v>#DIV/0!</v>
      </c>
      <c r="R59" s="35"/>
    </row>
    <row r="60" spans="1:18" hidden="1" x14ac:dyDescent="0.3">
      <c r="A60" s="37" t="s">
        <v>77</v>
      </c>
      <c r="B60" s="33" t="s">
        <v>82</v>
      </c>
      <c r="C60" s="34">
        <v>1038.02</v>
      </c>
      <c r="D60" s="33">
        <v>80</v>
      </c>
      <c r="E60" s="33"/>
      <c r="F60" s="33"/>
      <c r="G60" s="34">
        <v>161.97999999999999</v>
      </c>
      <c r="H60" s="34">
        <v>0</v>
      </c>
      <c r="I60" s="34">
        <v>1200</v>
      </c>
      <c r="J60" s="34">
        <v>281.26</v>
      </c>
      <c r="K60" s="34">
        <v>1481.26</v>
      </c>
      <c r="L60" s="33" t="s">
        <v>14</v>
      </c>
      <c r="M60" s="34" t="e">
        <f t="shared" si="4"/>
        <v>#DIV/0!</v>
      </c>
      <c r="N60" s="27"/>
      <c r="O60" s="34" t="e">
        <f t="shared" si="6"/>
        <v>#DIV/0!</v>
      </c>
      <c r="P60" s="35" t="e">
        <f t="shared" si="5"/>
        <v>#VALUE!</v>
      </c>
      <c r="Q60" s="34" t="e">
        <f t="shared" si="7"/>
        <v>#DIV/0!</v>
      </c>
      <c r="R60" s="35"/>
    </row>
    <row r="61" spans="1:18" hidden="1" x14ac:dyDescent="0.3">
      <c r="A61" s="37" t="s">
        <v>77</v>
      </c>
      <c r="B61" s="33" t="s">
        <v>82</v>
      </c>
      <c r="C61" s="34">
        <v>1038.02</v>
      </c>
      <c r="D61" s="33">
        <v>80</v>
      </c>
      <c r="E61" s="33"/>
      <c r="F61" s="33"/>
      <c r="G61" s="34">
        <v>161.97999999999999</v>
      </c>
      <c r="H61" s="34">
        <v>0</v>
      </c>
      <c r="I61" s="34">
        <v>1200</v>
      </c>
      <c r="J61" s="34">
        <v>280.06</v>
      </c>
      <c r="K61" s="34">
        <v>1480.06</v>
      </c>
      <c r="L61" s="33" t="s">
        <v>14</v>
      </c>
      <c r="M61" s="34" t="e">
        <f t="shared" si="4"/>
        <v>#DIV/0!</v>
      </c>
      <c r="N61" s="27"/>
      <c r="O61" s="34" t="e">
        <f t="shared" si="6"/>
        <v>#DIV/0!</v>
      </c>
      <c r="P61" s="35" t="e">
        <f t="shared" si="5"/>
        <v>#VALUE!</v>
      </c>
      <c r="Q61" s="34" t="e">
        <f t="shared" si="7"/>
        <v>#DIV/0!</v>
      </c>
      <c r="R61" s="35"/>
    </row>
    <row r="62" spans="1:18" hidden="1" x14ac:dyDescent="0.3">
      <c r="A62" s="37" t="s">
        <v>77</v>
      </c>
      <c r="B62" s="33" t="s">
        <v>82</v>
      </c>
      <c r="C62" s="34">
        <v>1038.02</v>
      </c>
      <c r="D62" s="33">
        <v>80</v>
      </c>
      <c r="E62" s="33"/>
      <c r="F62" s="33"/>
      <c r="G62" s="34">
        <v>161.97999999999999</v>
      </c>
      <c r="H62" s="34">
        <v>0</v>
      </c>
      <c r="I62" s="34">
        <v>1200</v>
      </c>
      <c r="J62" s="34">
        <v>274.06</v>
      </c>
      <c r="K62" s="34">
        <v>1474.06</v>
      </c>
      <c r="L62" s="33" t="s">
        <v>14</v>
      </c>
      <c r="M62" s="34" t="e">
        <f t="shared" si="4"/>
        <v>#DIV/0!</v>
      </c>
      <c r="N62" s="27"/>
      <c r="O62" s="34" t="e">
        <f t="shared" si="6"/>
        <v>#DIV/0!</v>
      </c>
      <c r="P62" s="35" t="e">
        <f t="shared" si="5"/>
        <v>#VALUE!</v>
      </c>
      <c r="Q62" s="34" t="e">
        <f t="shared" si="7"/>
        <v>#DIV/0!</v>
      </c>
      <c r="R62" s="35"/>
    </row>
    <row r="63" spans="1:18" hidden="1" x14ac:dyDescent="0.3">
      <c r="A63" s="37" t="s">
        <v>77</v>
      </c>
      <c r="B63" s="33" t="s">
        <v>82</v>
      </c>
      <c r="C63" s="34">
        <v>1038.02</v>
      </c>
      <c r="D63" s="33">
        <v>80</v>
      </c>
      <c r="E63" s="33"/>
      <c r="F63" s="33"/>
      <c r="G63" s="34">
        <v>161.97999999999999</v>
      </c>
      <c r="H63" s="34">
        <v>0</v>
      </c>
      <c r="I63" s="34">
        <v>1200</v>
      </c>
      <c r="J63" s="34">
        <v>274.06</v>
      </c>
      <c r="K63" s="34">
        <v>1474.06</v>
      </c>
      <c r="L63" s="33" t="s">
        <v>14</v>
      </c>
      <c r="M63" s="34" t="e">
        <f t="shared" si="4"/>
        <v>#DIV/0!</v>
      </c>
      <c r="N63" s="27"/>
      <c r="O63" s="34" t="e">
        <f t="shared" si="6"/>
        <v>#DIV/0!</v>
      </c>
      <c r="P63" s="35" t="e">
        <f t="shared" si="5"/>
        <v>#VALUE!</v>
      </c>
      <c r="Q63" s="34" t="e">
        <f t="shared" si="7"/>
        <v>#DIV/0!</v>
      </c>
      <c r="R63" s="35"/>
    </row>
    <row r="64" spans="1:18" hidden="1" x14ac:dyDescent="0.3">
      <c r="A64" s="37" t="s">
        <v>77</v>
      </c>
      <c r="B64" s="33" t="s">
        <v>82</v>
      </c>
      <c r="C64" s="34">
        <v>1038.02</v>
      </c>
      <c r="D64" s="33">
        <v>80</v>
      </c>
      <c r="E64" s="33"/>
      <c r="F64" s="33"/>
      <c r="G64" s="34">
        <v>161.97999999999999</v>
      </c>
      <c r="H64" s="34">
        <v>0</v>
      </c>
      <c r="I64" s="34">
        <v>1200</v>
      </c>
      <c r="J64" s="34">
        <v>274.06</v>
      </c>
      <c r="K64" s="34">
        <v>1474.06</v>
      </c>
      <c r="L64" s="33" t="s">
        <v>14</v>
      </c>
      <c r="M64" s="34" t="e">
        <f t="shared" si="4"/>
        <v>#DIV/0!</v>
      </c>
      <c r="N64" s="27"/>
      <c r="O64" s="34" t="e">
        <f t="shared" si="6"/>
        <v>#DIV/0!</v>
      </c>
      <c r="P64" s="35" t="e">
        <f t="shared" si="5"/>
        <v>#VALUE!</v>
      </c>
      <c r="Q64" s="34" t="e">
        <f t="shared" si="7"/>
        <v>#DIV/0!</v>
      </c>
      <c r="R64" s="35"/>
    </row>
    <row r="65" spans="1:18" hidden="1" x14ac:dyDescent="0.3">
      <c r="A65" s="37" t="s">
        <v>77</v>
      </c>
      <c r="B65" s="33" t="s">
        <v>82</v>
      </c>
      <c r="C65" s="34">
        <v>1038.02</v>
      </c>
      <c r="D65" s="33">
        <v>80</v>
      </c>
      <c r="E65" s="33"/>
      <c r="F65" s="33"/>
      <c r="G65" s="34">
        <v>161.97999999999999</v>
      </c>
      <c r="H65" s="34">
        <v>0</v>
      </c>
      <c r="I65" s="34">
        <v>1200</v>
      </c>
      <c r="J65" s="34">
        <v>274.06</v>
      </c>
      <c r="K65" s="34">
        <v>1474.06</v>
      </c>
      <c r="L65" s="33" t="s">
        <v>14</v>
      </c>
      <c r="M65" s="34" t="e">
        <f t="shared" si="4"/>
        <v>#DIV/0!</v>
      </c>
      <c r="N65" s="27"/>
      <c r="O65" s="34" t="e">
        <f t="shared" si="6"/>
        <v>#DIV/0!</v>
      </c>
      <c r="P65" s="35" t="e">
        <f t="shared" si="5"/>
        <v>#VALUE!</v>
      </c>
      <c r="Q65" s="34" t="e">
        <f t="shared" si="7"/>
        <v>#DIV/0!</v>
      </c>
      <c r="R65" s="35"/>
    </row>
    <row r="66" spans="1:18" hidden="1" x14ac:dyDescent="0.3">
      <c r="A66" s="37" t="s">
        <v>77</v>
      </c>
      <c r="B66" s="33" t="s">
        <v>82</v>
      </c>
      <c r="C66" s="34">
        <v>1038.02</v>
      </c>
      <c r="D66" s="33">
        <v>80</v>
      </c>
      <c r="E66" s="33"/>
      <c r="F66" s="33"/>
      <c r="G66" s="34">
        <v>161.97999999999999</v>
      </c>
      <c r="H66" s="34">
        <v>0</v>
      </c>
      <c r="I66" s="34">
        <v>1200</v>
      </c>
      <c r="J66" s="34">
        <v>274.06</v>
      </c>
      <c r="K66" s="34">
        <v>1474.06</v>
      </c>
      <c r="L66" s="33" t="s">
        <v>14</v>
      </c>
      <c r="M66" s="34" t="e">
        <f t="shared" si="4"/>
        <v>#DIV/0!</v>
      </c>
      <c r="N66" s="27"/>
      <c r="O66" s="34" t="e">
        <f t="shared" si="6"/>
        <v>#DIV/0!</v>
      </c>
      <c r="P66" s="35" t="e">
        <f t="shared" si="5"/>
        <v>#VALUE!</v>
      </c>
      <c r="Q66" s="34" t="e">
        <f t="shared" si="7"/>
        <v>#DIV/0!</v>
      </c>
      <c r="R66" s="35"/>
    </row>
    <row r="67" spans="1:18" hidden="1" x14ac:dyDescent="0.3">
      <c r="A67" s="37" t="s">
        <v>77</v>
      </c>
      <c r="B67" s="33" t="s">
        <v>82</v>
      </c>
      <c r="C67" s="34">
        <v>1038.02</v>
      </c>
      <c r="D67" s="33">
        <v>80</v>
      </c>
      <c r="E67" s="33"/>
      <c r="F67" s="33"/>
      <c r="G67" s="34">
        <v>161.97999999999999</v>
      </c>
      <c r="H67" s="34">
        <v>0</v>
      </c>
      <c r="I67" s="34">
        <v>1200</v>
      </c>
      <c r="J67" s="34">
        <v>274.06</v>
      </c>
      <c r="K67" s="34">
        <v>1474.06</v>
      </c>
      <c r="L67" s="33" t="s">
        <v>14</v>
      </c>
      <c r="M67" s="34" t="e">
        <f t="shared" si="4"/>
        <v>#DIV/0!</v>
      </c>
      <c r="N67" s="27"/>
      <c r="O67" s="34" t="e">
        <f t="shared" si="6"/>
        <v>#DIV/0!</v>
      </c>
      <c r="P67" s="35" t="e">
        <f t="shared" si="5"/>
        <v>#VALUE!</v>
      </c>
      <c r="Q67" s="34" t="e">
        <f t="shared" si="7"/>
        <v>#DIV/0!</v>
      </c>
      <c r="R67" s="35"/>
    </row>
    <row r="68" spans="1:18" hidden="1" x14ac:dyDescent="0.3">
      <c r="A68" s="37" t="s">
        <v>77</v>
      </c>
      <c r="B68" s="33" t="s">
        <v>82</v>
      </c>
      <c r="C68" s="34">
        <v>1038.02</v>
      </c>
      <c r="D68" s="33">
        <v>80</v>
      </c>
      <c r="E68" s="33"/>
      <c r="F68" s="33"/>
      <c r="G68" s="34">
        <v>161.97999999999999</v>
      </c>
      <c r="H68" s="34">
        <v>0</v>
      </c>
      <c r="I68" s="34">
        <v>1200</v>
      </c>
      <c r="J68" s="34">
        <v>274.06</v>
      </c>
      <c r="K68" s="34">
        <v>1474.06</v>
      </c>
      <c r="L68" s="33" t="s">
        <v>14</v>
      </c>
      <c r="M68" s="34" t="e">
        <f t="shared" si="4"/>
        <v>#DIV/0!</v>
      </c>
      <c r="N68" s="27"/>
      <c r="O68" s="34" t="e">
        <f t="shared" si="6"/>
        <v>#DIV/0!</v>
      </c>
      <c r="P68" s="35" t="e">
        <f t="shared" si="5"/>
        <v>#VALUE!</v>
      </c>
      <c r="Q68" s="34" t="e">
        <f t="shared" si="7"/>
        <v>#DIV/0!</v>
      </c>
      <c r="R68" s="35"/>
    </row>
    <row r="69" spans="1:18" hidden="1" x14ac:dyDescent="0.3">
      <c r="A69" s="37" t="s">
        <v>77</v>
      </c>
      <c r="B69" s="33" t="s">
        <v>82</v>
      </c>
      <c r="C69" s="34">
        <v>812.6</v>
      </c>
      <c r="D69" s="33">
        <v>61</v>
      </c>
      <c r="E69" s="33"/>
      <c r="F69" s="33"/>
      <c r="G69" s="34">
        <v>102.4</v>
      </c>
      <c r="H69" s="34">
        <v>0</v>
      </c>
      <c r="I69" s="34">
        <v>915</v>
      </c>
      <c r="J69" s="34">
        <v>208.97</v>
      </c>
      <c r="K69" s="34">
        <v>1123.97</v>
      </c>
      <c r="L69" s="33" t="s">
        <v>14</v>
      </c>
      <c r="M69" s="34" t="e">
        <f t="shared" si="4"/>
        <v>#DIV/0!</v>
      </c>
      <c r="N69" s="27"/>
      <c r="O69" s="34" t="e">
        <f t="shared" si="6"/>
        <v>#DIV/0!</v>
      </c>
      <c r="P69" s="35" t="e">
        <f t="shared" si="5"/>
        <v>#VALUE!</v>
      </c>
      <c r="Q69" s="34" t="e">
        <f t="shared" si="7"/>
        <v>#DIV/0!</v>
      </c>
      <c r="R69" s="35"/>
    </row>
    <row r="70" spans="1:18" hidden="1" x14ac:dyDescent="0.3">
      <c r="A70" s="37" t="s">
        <v>77</v>
      </c>
      <c r="B70" s="33" t="s">
        <v>82</v>
      </c>
      <c r="C70" s="34">
        <v>990.73</v>
      </c>
      <c r="D70" s="33">
        <v>76</v>
      </c>
      <c r="E70" s="33"/>
      <c r="F70" s="33"/>
      <c r="G70" s="34">
        <v>149.27000000000001</v>
      </c>
      <c r="H70" s="34">
        <v>0</v>
      </c>
      <c r="I70" s="34">
        <v>1140</v>
      </c>
      <c r="J70" s="34">
        <v>260.35000000000002</v>
      </c>
      <c r="K70" s="34">
        <v>1400.35</v>
      </c>
      <c r="L70" s="33" t="s">
        <v>14</v>
      </c>
      <c r="M70" s="34" t="e">
        <f t="shared" si="4"/>
        <v>#DIV/0!</v>
      </c>
      <c r="N70" s="27"/>
      <c r="O70" s="34" t="e">
        <f t="shared" si="6"/>
        <v>#DIV/0!</v>
      </c>
      <c r="P70" s="35" t="e">
        <f t="shared" si="5"/>
        <v>#VALUE!</v>
      </c>
      <c r="Q70" s="34" t="e">
        <f t="shared" si="7"/>
        <v>#DIV/0!</v>
      </c>
      <c r="R70" s="35"/>
    </row>
    <row r="71" spans="1:18" hidden="1" x14ac:dyDescent="0.3">
      <c r="A71" s="37" t="s">
        <v>77</v>
      </c>
      <c r="B71" s="33" t="s">
        <v>82</v>
      </c>
      <c r="C71" s="34">
        <v>1038.02</v>
      </c>
      <c r="D71" s="33">
        <v>80</v>
      </c>
      <c r="E71" s="33"/>
      <c r="F71" s="33"/>
      <c r="G71" s="34">
        <v>161.97999999999999</v>
      </c>
      <c r="H71" s="34">
        <v>0</v>
      </c>
      <c r="I71" s="34">
        <v>1200</v>
      </c>
      <c r="J71" s="34">
        <v>274.06</v>
      </c>
      <c r="K71" s="34">
        <v>1474.06</v>
      </c>
      <c r="L71" s="33" t="s">
        <v>14</v>
      </c>
      <c r="M71" s="34" t="e">
        <f t="shared" si="4"/>
        <v>#DIV/0!</v>
      </c>
      <c r="N71" s="27"/>
      <c r="O71" s="34" t="e">
        <f t="shared" si="6"/>
        <v>#DIV/0!</v>
      </c>
      <c r="P71" s="35" t="e">
        <f t="shared" si="5"/>
        <v>#VALUE!</v>
      </c>
      <c r="Q71" s="34" t="e">
        <f t="shared" si="7"/>
        <v>#DIV/0!</v>
      </c>
      <c r="R71" s="35"/>
    </row>
    <row r="72" spans="1:18" x14ac:dyDescent="0.3">
      <c r="A72" s="32">
        <v>43393</v>
      </c>
      <c r="B72" s="33" t="s">
        <v>84</v>
      </c>
      <c r="C72" s="34"/>
      <c r="D72" s="31">
        <v>30</v>
      </c>
      <c r="E72" s="35"/>
      <c r="F72" s="35"/>
      <c r="G72" s="34"/>
      <c r="H72" s="34"/>
      <c r="I72" s="34"/>
      <c r="J72" s="34"/>
      <c r="K72" s="34"/>
      <c r="L72" s="33"/>
      <c r="M72" s="38">
        <v>25.28</v>
      </c>
      <c r="N72" s="27">
        <v>30</v>
      </c>
      <c r="O72" s="50">
        <f>M72*N72</f>
        <v>758.40000000000009</v>
      </c>
      <c r="P72" s="35">
        <f t="shared" si="5"/>
        <v>242.69</v>
      </c>
      <c r="Q72" s="40">
        <f t="shared" ref="Q72:Q77" si="10">O72*2</f>
        <v>1516.8000000000002</v>
      </c>
      <c r="R72" s="35">
        <v>556.29999999999995</v>
      </c>
    </row>
    <row r="73" spans="1:18" x14ac:dyDescent="0.3">
      <c r="A73" s="32">
        <v>43407</v>
      </c>
      <c r="B73" s="33" t="s">
        <v>84</v>
      </c>
      <c r="C73" s="34"/>
      <c r="D73" s="31">
        <v>109</v>
      </c>
      <c r="E73" s="35"/>
      <c r="F73" s="35"/>
      <c r="G73" s="34"/>
      <c r="H73" s="34"/>
      <c r="I73" s="34"/>
      <c r="J73" s="34"/>
      <c r="K73" s="34"/>
      <c r="L73" s="33"/>
      <c r="M73" s="38">
        <v>25.28</v>
      </c>
      <c r="N73" s="27">
        <v>109</v>
      </c>
      <c r="O73" s="50">
        <f>(M73*80)+(N73-80)*(M73*1.5)</f>
        <v>3122.08</v>
      </c>
      <c r="P73" s="35">
        <f t="shared" si="5"/>
        <v>999.07</v>
      </c>
      <c r="Q73" s="40">
        <f t="shared" si="10"/>
        <v>6244.16</v>
      </c>
      <c r="R73" s="35"/>
    </row>
    <row r="74" spans="1:18" x14ac:dyDescent="0.3">
      <c r="A74" s="32">
        <v>43421</v>
      </c>
      <c r="B74" s="33" t="s">
        <v>84</v>
      </c>
      <c r="C74" s="34"/>
      <c r="D74" s="31">
        <v>133</v>
      </c>
      <c r="E74" s="35"/>
      <c r="F74" s="35"/>
      <c r="G74" s="34"/>
      <c r="H74" s="34"/>
      <c r="I74" s="34"/>
      <c r="J74" s="34"/>
      <c r="K74" s="34"/>
      <c r="L74" s="33"/>
      <c r="M74" s="38">
        <v>25.28</v>
      </c>
      <c r="N74" s="27">
        <v>133</v>
      </c>
      <c r="O74" s="50">
        <f>(M74*80)+(N74-80)*(M74*1.5)</f>
        <v>4032.16</v>
      </c>
      <c r="P74" s="35">
        <f t="shared" si="5"/>
        <v>1249.97</v>
      </c>
      <c r="Q74" s="40">
        <f t="shared" si="10"/>
        <v>8064.32</v>
      </c>
      <c r="R74" s="35"/>
    </row>
    <row r="75" spans="1:18" x14ac:dyDescent="0.3">
      <c r="A75" s="32">
        <v>43441</v>
      </c>
      <c r="B75" s="33" t="s">
        <v>84</v>
      </c>
      <c r="C75" s="34">
        <v>1126</v>
      </c>
      <c r="D75" s="36">
        <v>58</v>
      </c>
      <c r="E75" s="35">
        <v>244.13</v>
      </c>
      <c r="F75" s="35">
        <v>1520</v>
      </c>
      <c r="G75" s="34">
        <v>288.13</v>
      </c>
      <c r="H75" s="34">
        <v>350</v>
      </c>
      <c r="I75" s="34">
        <v>1764.13</v>
      </c>
      <c r="J75" s="34">
        <v>338.01</v>
      </c>
      <c r="K75" s="34">
        <v>2102.14</v>
      </c>
      <c r="L75" s="33" t="s">
        <v>14</v>
      </c>
      <c r="M75" s="34">
        <f t="shared" si="4"/>
        <v>21.51378048780488</v>
      </c>
      <c r="N75" s="27">
        <v>82</v>
      </c>
      <c r="O75" s="38">
        <f>(M75*0.5)*18</f>
        <v>193.6240243902439</v>
      </c>
      <c r="P75" s="35">
        <f t="shared" si="5"/>
        <v>60.02</v>
      </c>
      <c r="Q75" s="40">
        <f t="shared" si="10"/>
        <v>387.24804878048781</v>
      </c>
      <c r="R75" s="35"/>
    </row>
    <row r="76" spans="1:18" x14ac:dyDescent="0.3">
      <c r="A76" s="32">
        <v>43455</v>
      </c>
      <c r="B76" s="33" t="s">
        <v>84</v>
      </c>
      <c r="C76" s="34">
        <v>2079</v>
      </c>
      <c r="D76" s="33">
        <v>80</v>
      </c>
      <c r="E76" s="35">
        <v>469.46</v>
      </c>
      <c r="F76" s="35">
        <v>2080</v>
      </c>
      <c r="G76" s="34">
        <v>470.46</v>
      </c>
      <c r="H76" s="34">
        <v>0</v>
      </c>
      <c r="I76" s="34">
        <v>2549.46</v>
      </c>
      <c r="J76" s="34">
        <v>417.01</v>
      </c>
      <c r="K76" s="34">
        <v>2966.47</v>
      </c>
      <c r="L76" s="33" t="s">
        <v>14</v>
      </c>
      <c r="M76" s="34">
        <f t="shared" si="4"/>
        <v>22.073246753246753</v>
      </c>
      <c r="N76" s="27">
        <v>115.5</v>
      </c>
      <c r="O76" s="34">
        <f t="shared" si="6"/>
        <v>391.80012987012987</v>
      </c>
      <c r="P76" s="35">
        <f t="shared" ref="P76:P139" si="11">ROUND(((ROUNDDOWN(($W$1-A76)/30,0))/100)*O76,2)</f>
        <v>117.54</v>
      </c>
      <c r="Q76" s="40">
        <f t="shared" si="10"/>
        <v>783.60025974025973</v>
      </c>
      <c r="R76" s="35"/>
    </row>
    <row r="77" spans="1:18" x14ac:dyDescent="0.3">
      <c r="A77" s="37">
        <v>43469</v>
      </c>
      <c r="B77" s="33" t="s">
        <v>84</v>
      </c>
      <c r="C77" s="34">
        <v>895.48</v>
      </c>
      <c r="D77" s="33">
        <v>80</v>
      </c>
      <c r="E77" s="35">
        <v>465.3</v>
      </c>
      <c r="F77" s="35">
        <v>1480</v>
      </c>
      <c r="G77" s="34">
        <v>234.52</v>
      </c>
      <c r="H77" s="34">
        <v>350</v>
      </c>
      <c r="I77" s="34">
        <v>1480</v>
      </c>
      <c r="J77" s="34">
        <v>309.43</v>
      </c>
      <c r="K77" s="34">
        <v>1789.43</v>
      </c>
      <c r="L77" s="33" t="s">
        <v>14</v>
      </c>
      <c r="M77" s="34">
        <f t="shared" si="4"/>
        <v>20.91720430107527</v>
      </c>
      <c r="N77" s="27">
        <v>93</v>
      </c>
      <c r="O77" s="34">
        <f t="shared" si="6"/>
        <v>135.96182795698925</v>
      </c>
      <c r="P77" s="35">
        <f t="shared" si="11"/>
        <v>40.79</v>
      </c>
      <c r="Q77" s="40">
        <f t="shared" si="10"/>
        <v>271.92365591397851</v>
      </c>
      <c r="R77" s="35"/>
    </row>
    <row r="78" spans="1:18" hidden="1" x14ac:dyDescent="0.3">
      <c r="A78" s="37" t="s">
        <v>77</v>
      </c>
      <c r="B78" s="33" t="s">
        <v>84</v>
      </c>
      <c r="C78" s="34">
        <v>1979.96</v>
      </c>
      <c r="D78" s="33">
        <v>80</v>
      </c>
      <c r="E78" s="33">
        <v>932.04</v>
      </c>
      <c r="F78" s="33">
        <v>1480</v>
      </c>
      <c r="G78" s="34">
        <v>216.04</v>
      </c>
      <c r="H78" s="34">
        <v>0</v>
      </c>
      <c r="I78" s="34">
        <v>2196</v>
      </c>
      <c r="J78" s="34">
        <v>381.46</v>
      </c>
      <c r="K78" s="34">
        <v>2577.46</v>
      </c>
      <c r="L78" s="33" t="s">
        <v>14</v>
      </c>
      <c r="M78" s="34" t="e">
        <f t="shared" si="4"/>
        <v>#DIV/0!</v>
      </c>
      <c r="N78" s="27"/>
      <c r="O78" s="34" t="e">
        <f t="shared" si="6"/>
        <v>#DIV/0!</v>
      </c>
      <c r="P78" s="35" t="e">
        <f t="shared" si="11"/>
        <v>#VALUE!</v>
      </c>
      <c r="Q78" s="34" t="e">
        <f t="shared" si="7"/>
        <v>#DIV/0!</v>
      </c>
      <c r="R78" s="35"/>
    </row>
    <row r="79" spans="1:18" hidden="1" x14ac:dyDescent="0.3">
      <c r="A79" s="37" t="s">
        <v>77</v>
      </c>
      <c r="B79" s="33" t="s">
        <v>84</v>
      </c>
      <c r="C79" s="34">
        <v>2181</v>
      </c>
      <c r="D79" s="33">
        <v>80</v>
      </c>
      <c r="E79" s="33">
        <v>1715.43</v>
      </c>
      <c r="F79" s="33">
        <v>1480</v>
      </c>
      <c r="G79" s="34">
        <v>664.43</v>
      </c>
      <c r="H79" s="34">
        <v>350</v>
      </c>
      <c r="I79" s="34">
        <v>3195.43</v>
      </c>
      <c r="J79" s="34">
        <v>478.57</v>
      </c>
      <c r="K79" s="34">
        <v>3674</v>
      </c>
      <c r="L79" s="33" t="s">
        <v>14</v>
      </c>
      <c r="M79" s="34" t="e">
        <f t="shared" si="4"/>
        <v>#DIV/0!</v>
      </c>
      <c r="N79" s="27"/>
      <c r="O79" s="34" t="e">
        <f t="shared" si="6"/>
        <v>#DIV/0!</v>
      </c>
      <c r="P79" s="35" t="e">
        <f t="shared" si="11"/>
        <v>#VALUE!</v>
      </c>
      <c r="Q79" s="34" t="e">
        <f t="shared" si="7"/>
        <v>#DIV/0!</v>
      </c>
      <c r="R79" s="35"/>
    </row>
    <row r="80" spans="1:18" hidden="1" x14ac:dyDescent="0.3">
      <c r="A80" s="37" t="s">
        <v>77</v>
      </c>
      <c r="B80" s="33" t="s">
        <v>84</v>
      </c>
      <c r="C80" s="34">
        <v>1984</v>
      </c>
      <c r="D80" s="33">
        <v>80</v>
      </c>
      <c r="E80" s="33">
        <v>216.39</v>
      </c>
      <c r="F80" s="33">
        <v>1984</v>
      </c>
      <c r="G80" s="34">
        <v>216.39</v>
      </c>
      <c r="H80" s="34">
        <v>0</v>
      </c>
      <c r="I80" s="34">
        <v>2200.39</v>
      </c>
      <c r="J80" s="34">
        <v>368.69</v>
      </c>
      <c r="K80" s="34">
        <v>2569.08</v>
      </c>
      <c r="L80" s="33" t="s">
        <v>14</v>
      </c>
      <c r="M80" s="34" t="e">
        <f t="shared" si="4"/>
        <v>#DIV/0!</v>
      </c>
      <c r="N80" s="27"/>
      <c r="O80" s="34" t="e">
        <f t="shared" si="6"/>
        <v>#DIV/0!</v>
      </c>
      <c r="P80" s="35" t="e">
        <f t="shared" si="11"/>
        <v>#VALUE!</v>
      </c>
      <c r="Q80" s="34" t="e">
        <f t="shared" si="7"/>
        <v>#DIV/0!</v>
      </c>
      <c r="R80" s="35"/>
    </row>
    <row r="81" spans="1:18" hidden="1" x14ac:dyDescent="0.3">
      <c r="A81" s="37" t="s">
        <v>77</v>
      </c>
      <c r="B81" s="33" t="s">
        <v>84</v>
      </c>
      <c r="C81" s="34">
        <v>1802</v>
      </c>
      <c r="D81" s="33">
        <v>0</v>
      </c>
      <c r="E81" s="33">
        <v>1802</v>
      </c>
      <c r="F81" s="33">
        <v>0</v>
      </c>
      <c r="G81" s="34">
        <v>319.75</v>
      </c>
      <c r="H81" s="34">
        <v>0</v>
      </c>
      <c r="I81" s="34">
        <v>2121.75</v>
      </c>
      <c r="J81" s="34">
        <v>200.71</v>
      </c>
      <c r="K81" s="34">
        <v>2322.46</v>
      </c>
      <c r="L81" s="33" t="s">
        <v>14</v>
      </c>
      <c r="M81" s="34" t="e">
        <f t="shared" ref="M81:M123" si="12">(E81+F81)/N81</f>
        <v>#DIV/0!</v>
      </c>
      <c r="N81" s="27"/>
      <c r="O81" s="34" t="e">
        <f t="shared" si="6"/>
        <v>#DIV/0!</v>
      </c>
      <c r="P81" s="35" t="e">
        <f t="shared" si="11"/>
        <v>#VALUE!</v>
      </c>
      <c r="Q81" s="34" t="e">
        <f t="shared" si="7"/>
        <v>#DIV/0!</v>
      </c>
      <c r="R81" s="35"/>
    </row>
    <row r="82" spans="1:18" hidden="1" x14ac:dyDescent="0.3">
      <c r="A82" s="37" t="s">
        <v>77</v>
      </c>
      <c r="B82" s="33" t="s">
        <v>84</v>
      </c>
      <c r="C82" s="34">
        <v>2299</v>
      </c>
      <c r="D82" s="33">
        <v>80</v>
      </c>
      <c r="E82" s="33">
        <v>1384.47</v>
      </c>
      <c r="F82" s="33">
        <v>1480</v>
      </c>
      <c r="G82" s="34">
        <v>565.47</v>
      </c>
      <c r="H82" s="34">
        <v>0</v>
      </c>
      <c r="I82" s="34">
        <v>2864.47</v>
      </c>
      <c r="J82" s="34">
        <v>431.53</v>
      </c>
      <c r="K82" s="34">
        <v>3296</v>
      </c>
      <c r="L82" s="33" t="s">
        <v>14</v>
      </c>
      <c r="M82" s="34" t="e">
        <f t="shared" si="12"/>
        <v>#DIV/0!</v>
      </c>
      <c r="N82" s="27"/>
      <c r="O82" s="34" t="e">
        <f t="shared" si="6"/>
        <v>#DIV/0!</v>
      </c>
      <c r="P82" s="35" t="e">
        <f t="shared" si="11"/>
        <v>#VALUE!</v>
      </c>
      <c r="Q82" s="34" t="e">
        <f t="shared" si="7"/>
        <v>#DIV/0!</v>
      </c>
      <c r="R82" s="35"/>
    </row>
    <row r="83" spans="1:18" hidden="1" x14ac:dyDescent="0.3">
      <c r="A83" s="37" t="s">
        <v>77</v>
      </c>
      <c r="B83" s="33" t="s">
        <v>84</v>
      </c>
      <c r="C83" s="34">
        <v>1897</v>
      </c>
      <c r="D83" s="33">
        <v>80</v>
      </c>
      <c r="E83" s="33">
        <v>1310.29</v>
      </c>
      <c r="F83" s="33">
        <v>1480</v>
      </c>
      <c r="G83" s="34">
        <v>543.29</v>
      </c>
      <c r="H83" s="34">
        <v>350</v>
      </c>
      <c r="I83" s="34">
        <v>2790.29</v>
      </c>
      <c r="J83" s="34">
        <v>424.5</v>
      </c>
      <c r="K83" s="34">
        <v>3214.79</v>
      </c>
      <c r="L83" s="33" t="s">
        <v>14</v>
      </c>
      <c r="M83" s="34" t="e">
        <f t="shared" si="12"/>
        <v>#DIV/0!</v>
      </c>
      <c r="N83" s="27"/>
      <c r="O83" s="34" t="e">
        <f t="shared" ref="O83:O167" si="13">((N83-80)*M83)*0.5</f>
        <v>#DIV/0!</v>
      </c>
      <c r="P83" s="35" t="e">
        <f t="shared" si="11"/>
        <v>#VALUE!</v>
      </c>
      <c r="Q83" s="34" t="e">
        <f t="shared" ref="Q83:Q117" si="14">O83*1.5</f>
        <v>#DIV/0!</v>
      </c>
      <c r="R83" s="35"/>
    </row>
    <row r="84" spans="1:18" hidden="1" x14ac:dyDescent="0.3">
      <c r="A84" s="37" t="s">
        <v>77</v>
      </c>
      <c r="B84" s="33" t="s">
        <v>84</v>
      </c>
      <c r="C84" s="34">
        <v>1897</v>
      </c>
      <c r="D84" s="33">
        <v>80</v>
      </c>
      <c r="E84" s="33">
        <v>823.04</v>
      </c>
      <c r="F84" s="33">
        <v>1850</v>
      </c>
      <c r="G84" s="34">
        <v>396.41</v>
      </c>
      <c r="H84" s="34">
        <v>0</v>
      </c>
      <c r="I84" s="34">
        <v>2293.41</v>
      </c>
      <c r="J84" s="34">
        <v>377.49</v>
      </c>
      <c r="K84" s="34">
        <v>2670.9</v>
      </c>
      <c r="L84" s="33" t="s">
        <v>14</v>
      </c>
      <c r="M84" s="34" t="e">
        <f t="shared" si="12"/>
        <v>#DIV/0!</v>
      </c>
      <c r="N84" s="27"/>
      <c r="O84" s="34" t="e">
        <f t="shared" si="13"/>
        <v>#DIV/0!</v>
      </c>
      <c r="P84" s="35" t="e">
        <f t="shared" si="11"/>
        <v>#VALUE!</v>
      </c>
      <c r="Q84" s="34" t="e">
        <f t="shared" si="14"/>
        <v>#DIV/0!</v>
      </c>
      <c r="R84" s="35"/>
    </row>
    <row r="85" spans="1:18" x14ac:dyDescent="0.3">
      <c r="A85" s="32">
        <v>43581</v>
      </c>
      <c r="B85" s="33" t="s">
        <v>84</v>
      </c>
      <c r="C85" s="34">
        <v>1907</v>
      </c>
      <c r="D85" s="36">
        <v>59</v>
      </c>
      <c r="E85" s="35">
        <v>1324.53</v>
      </c>
      <c r="F85" s="35">
        <v>1480</v>
      </c>
      <c r="G85" s="34">
        <v>547.53</v>
      </c>
      <c r="H85" s="34">
        <v>350</v>
      </c>
      <c r="I85" s="34">
        <v>2804.53</v>
      </c>
      <c r="J85" s="34">
        <v>421.08</v>
      </c>
      <c r="K85" s="34">
        <v>3225.61</v>
      </c>
      <c r="L85" s="33" t="s">
        <v>14</v>
      </c>
      <c r="M85" s="34">
        <f t="shared" si="12"/>
        <v>47.534406779661012</v>
      </c>
      <c r="N85" s="27">
        <v>59</v>
      </c>
      <c r="O85" s="38">
        <f>(M85*0.5)*19</f>
        <v>451.57686440677963</v>
      </c>
      <c r="P85" s="35">
        <f t="shared" si="11"/>
        <v>117.41</v>
      </c>
      <c r="Q85" s="40">
        <f t="shared" ref="Q85:Q109" si="15">O85*2</f>
        <v>903.15372881355927</v>
      </c>
      <c r="R85" s="35"/>
    </row>
    <row r="86" spans="1:18" x14ac:dyDescent="0.3">
      <c r="A86" s="32">
        <v>43595</v>
      </c>
      <c r="B86" s="33" t="s">
        <v>84</v>
      </c>
      <c r="C86" s="34">
        <v>2698</v>
      </c>
      <c r="D86" s="33">
        <v>80</v>
      </c>
      <c r="E86" s="35">
        <v>1953.67</v>
      </c>
      <c r="F86" s="35">
        <v>1480</v>
      </c>
      <c r="G86" s="34">
        <v>735.67</v>
      </c>
      <c r="H86" s="34">
        <v>0</v>
      </c>
      <c r="I86" s="34">
        <v>3433.67</v>
      </c>
      <c r="J86" s="34">
        <v>479.53</v>
      </c>
      <c r="K86" s="34">
        <v>3913.2</v>
      </c>
      <c r="L86" s="33" t="s">
        <v>14</v>
      </c>
      <c r="M86" s="34">
        <f t="shared" si="12"/>
        <v>35.582072538860103</v>
      </c>
      <c r="N86" s="27">
        <v>96.5</v>
      </c>
      <c r="O86" s="34">
        <f t="shared" si="13"/>
        <v>293.55209844559585</v>
      </c>
      <c r="P86" s="35">
        <f t="shared" si="11"/>
        <v>76.319999999999993</v>
      </c>
      <c r="Q86" s="40">
        <f t="shared" si="15"/>
        <v>587.10419689119169</v>
      </c>
      <c r="R86" s="35"/>
    </row>
    <row r="87" spans="1:18" x14ac:dyDescent="0.3">
      <c r="A87" s="32">
        <v>43609</v>
      </c>
      <c r="B87" s="33" t="s">
        <v>84</v>
      </c>
      <c r="C87" s="34">
        <v>2348</v>
      </c>
      <c r="D87" s="33">
        <v>80</v>
      </c>
      <c r="E87" s="35">
        <v>1953.66</v>
      </c>
      <c r="F87" s="35">
        <v>1480</v>
      </c>
      <c r="G87" s="34">
        <v>735.66</v>
      </c>
      <c r="H87" s="34">
        <v>350</v>
      </c>
      <c r="I87" s="34">
        <v>3433.66</v>
      </c>
      <c r="J87" s="34">
        <v>479.53</v>
      </c>
      <c r="K87" s="34">
        <v>3913.19</v>
      </c>
      <c r="L87" s="33" t="s">
        <v>14</v>
      </c>
      <c r="M87" s="34">
        <f t="shared" si="12"/>
        <v>39.926279069767439</v>
      </c>
      <c r="N87" s="27">
        <v>86</v>
      </c>
      <c r="O87" s="34">
        <f t="shared" si="13"/>
        <v>119.77883720930231</v>
      </c>
      <c r="P87" s="35">
        <f t="shared" si="11"/>
        <v>29.94</v>
      </c>
      <c r="Q87" s="40">
        <f t="shared" si="15"/>
        <v>239.55767441860462</v>
      </c>
      <c r="R87" s="35"/>
    </row>
    <row r="88" spans="1:18" x14ac:dyDescent="0.3">
      <c r="A88" s="32">
        <v>43623</v>
      </c>
      <c r="B88" s="33" t="s">
        <v>84</v>
      </c>
      <c r="C88" s="34">
        <v>2163</v>
      </c>
      <c r="D88" s="36">
        <v>56</v>
      </c>
      <c r="E88" s="35">
        <v>1190.44</v>
      </c>
      <c r="F88" s="35">
        <v>1480</v>
      </c>
      <c r="G88" s="34">
        <v>507.44</v>
      </c>
      <c r="H88" s="34">
        <v>0</v>
      </c>
      <c r="I88" s="34">
        <v>2670.44</v>
      </c>
      <c r="J88" s="34">
        <v>408.62</v>
      </c>
      <c r="K88" s="34">
        <v>3079.06</v>
      </c>
      <c r="L88" s="33" t="s">
        <v>14</v>
      </c>
      <c r="M88" s="34">
        <f t="shared" si="12"/>
        <v>39.271176470588237</v>
      </c>
      <c r="N88" s="27">
        <v>68</v>
      </c>
      <c r="O88" s="38">
        <f>(M88*0.5)*16</f>
        <v>314.1694117647059</v>
      </c>
      <c r="P88" s="35">
        <f t="shared" si="11"/>
        <v>78.540000000000006</v>
      </c>
      <c r="Q88" s="40">
        <f t="shared" si="15"/>
        <v>628.3388235294118</v>
      </c>
      <c r="R88" s="35"/>
    </row>
    <row r="89" spans="1:18" x14ac:dyDescent="0.3">
      <c r="A89" s="32">
        <v>43637</v>
      </c>
      <c r="B89" s="33" t="s">
        <v>84</v>
      </c>
      <c r="C89" s="34">
        <v>2821</v>
      </c>
      <c r="D89" s="33">
        <v>80</v>
      </c>
      <c r="E89" s="35">
        <v>2009.25</v>
      </c>
      <c r="F89" s="35">
        <v>1480</v>
      </c>
      <c r="G89" s="34">
        <v>318.25</v>
      </c>
      <c r="H89" s="34">
        <v>350</v>
      </c>
      <c r="I89" s="34">
        <v>3489.25</v>
      </c>
      <c r="J89" s="34">
        <v>484.69</v>
      </c>
      <c r="K89" s="34">
        <v>3973.94</v>
      </c>
      <c r="L89" s="33" t="s">
        <v>14</v>
      </c>
      <c r="M89" s="34">
        <f t="shared" si="12"/>
        <v>23.107615894039736</v>
      </c>
      <c r="N89" s="27">
        <v>151</v>
      </c>
      <c r="O89" s="34">
        <f t="shared" si="13"/>
        <v>820.32036423841066</v>
      </c>
      <c r="P89" s="35">
        <f t="shared" si="11"/>
        <v>196.88</v>
      </c>
      <c r="Q89" s="40">
        <f t="shared" si="15"/>
        <v>1640.6407284768213</v>
      </c>
      <c r="R89" s="35"/>
    </row>
    <row r="90" spans="1:18" x14ac:dyDescent="0.3">
      <c r="A90" s="32">
        <v>43651</v>
      </c>
      <c r="B90" s="33" t="s">
        <v>84</v>
      </c>
      <c r="C90" s="34">
        <v>2038</v>
      </c>
      <c r="D90" s="33">
        <v>80</v>
      </c>
      <c r="E90" s="35">
        <v>747.64</v>
      </c>
      <c r="F90" s="35">
        <v>2000</v>
      </c>
      <c r="G90" s="34">
        <v>259.64</v>
      </c>
      <c r="H90" s="34">
        <v>450</v>
      </c>
      <c r="I90" s="34">
        <v>2747.64</v>
      </c>
      <c r="J90" s="34">
        <v>415.8</v>
      </c>
      <c r="K90" s="34">
        <v>3163.44</v>
      </c>
      <c r="L90" s="33" t="s">
        <v>14</v>
      </c>
      <c r="M90" s="34">
        <f t="shared" si="12"/>
        <v>23.186835443037975</v>
      </c>
      <c r="N90" s="27">
        <v>118.5</v>
      </c>
      <c r="O90" s="34">
        <f t="shared" si="13"/>
        <v>446.34658227848104</v>
      </c>
      <c r="P90" s="35">
        <f t="shared" si="11"/>
        <v>107.12</v>
      </c>
      <c r="Q90" s="40">
        <f t="shared" si="15"/>
        <v>892.69316455696207</v>
      </c>
      <c r="R90" s="35"/>
    </row>
    <row r="91" spans="1:18" x14ac:dyDescent="0.3">
      <c r="A91" s="32">
        <v>43665</v>
      </c>
      <c r="B91" s="33" t="s">
        <v>84</v>
      </c>
      <c r="C91" s="34">
        <v>1341</v>
      </c>
      <c r="D91" s="33">
        <v>80</v>
      </c>
      <c r="E91" s="35">
        <v>0</v>
      </c>
      <c r="F91" s="35">
        <v>2294.69</v>
      </c>
      <c r="G91" s="34">
        <v>278.69</v>
      </c>
      <c r="H91" s="34">
        <v>675</v>
      </c>
      <c r="I91" s="34">
        <v>2294.69</v>
      </c>
      <c r="J91" s="34">
        <v>373.72</v>
      </c>
      <c r="K91" s="34">
        <v>2668.41</v>
      </c>
      <c r="L91" s="33" t="s">
        <v>14</v>
      </c>
      <c r="M91" s="34">
        <f t="shared" si="12"/>
        <v>23.903020833333333</v>
      </c>
      <c r="N91" s="27">
        <v>96</v>
      </c>
      <c r="O91" s="34">
        <f t="shared" si="13"/>
        <v>191.22416666666666</v>
      </c>
      <c r="P91" s="35">
        <f t="shared" si="11"/>
        <v>43.98</v>
      </c>
      <c r="Q91" s="40">
        <f t="shared" si="15"/>
        <v>382.44833333333332</v>
      </c>
      <c r="R91" s="35"/>
    </row>
    <row r="92" spans="1:18" x14ac:dyDescent="0.3">
      <c r="A92" s="32">
        <v>43679</v>
      </c>
      <c r="B92" s="33" t="s">
        <v>84</v>
      </c>
      <c r="C92" s="34">
        <v>2285</v>
      </c>
      <c r="D92" s="33">
        <v>80</v>
      </c>
      <c r="E92" s="35">
        <v>427.52</v>
      </c>
      <c r="F92" s="35">
        <v>2635</v>
      </c>
      <c r="G92" s="34">
        <v>427.56</v>
      </c>
      <c r="H92" s="34">
        <v>349.96</v>
      </c>
      <c r="I92" s="34">
        <v>3062.52</v>
      </c>
      <c r="J92" s="34">
        <v>445.04</v>
      </c>
      <c r="K92" s="34">
        <v>3507.56</v>
      </c>
      <c r="L92" s="33" t="s">
        <v>14</v>
      </c>
      <c r="M92" s="34">
        <f t="shared" si="12"/>
        <v>24.697741935483872</v>
      </c>
      <c r="N92" s="27">
        <v>124</v>
      </c>
      <c r="O92" s="34">
        <f t="shared" si="13"/>
        <v>543.35032258064518</v>
      </c>
      <c r="P92" s="35">
        <f t="shared" si="11"/>
        <v>124.97</v>
      </c>
      <c r="Q92" s="40">
        <f t="shared" si="15"/>
        <v>1086.7006451612904</v>
      </c>
      <c r="R92" s="35"/>
    </row>
    <row r="93" spans="1:18" x14ac:dyDescent="0.3">
      <c r="A93" s="32">
        <v>43693</v>
      </c>
      <c r="B93" s="33" t="s">
        <v>84</v>
      </c>
      <c r="C93" s="34">
        <v>1626</v>
      </c>
      <c r="D93" s="33">
        <v>80</v>
      </c>
      <c r="E93" s="35">
        <v>325.94</v>
      </c>
      <c r="F93" s="35">
        <v>2226</v>
      </c>
      <c r="G93" s="34">
        <v>325.94</v>
      </c>
      <c r="H93" s="34">
        <v>600</v>
      </c>
      <c r="I93" s="34">
        <v>2551.94</v>
      </c>
      <c r="J93" s="34">
        <v>397.61</v>
      </c>
      <c r="K93" s="34">
        <v>2949.55</v>
      </c>
      <c r="L93" s="33" t="s">
        <v>14</v>
      </c>
      <c r="M93" s="34">
        <f t="shared" si="12"/>
        <v>22.385438596491227</v>
      </c>
      <c r="N93" s="27">
        <v>114</v>
      </c>
      <c r="O93" s="34">
        <f t="shared" si="13"/>
        <v>380.55245614035084</v>
      </c>
      <c r="P93" s="35">
        <f t="shared" si="11"/>
        <v>83.72</v>
      </c>
      <c r="Q93" s="40">
        <f t="shared" si="15"/>
        <v>761.10491228070168</v>
      </c>
      <c r="R93" s="35"/>
    </row>
    <row r="94" spans="1:18" x14ac:dyDescent="0.3">
      <c r="A94" s="32">
        <v>43707</v>
      </c>
      <c r="B94" s="33" t="s">
        <v>84</v>
      </c>
      <c r="C94" s="34">
        <v>1876</v>
      </c>
      <c r="D94" s="33">
        <v>80</v>
      </c>
      <c r="E94" s="35">
        <v>325.94</v>
      </c>
      <c r="F94" s="35">
        <v>2226</v>
      </c>
      <c r="G94" s="34">
        <v>325.94</v>
      </c>
      <c r="H94" s="34">
        <v>350</v>
      </c>
      <c r="I94" s="34">
        <v>2551.94</v>
      </c>
      <c r="J94" s="34">
        <v>397.61</v>
      </c>
      <c r="K94" s="34">
        <v>2949.55</v>
      </c>
      <c r="L94" s="33" t="s">
        <v>14</v>
      </c>
      <c r="M94" s="34">
        <f t="shared" si="12"/>
        <v>22.990450450450449</v>
      </c>
      <c r="N94" s="27">
        <v>111</v>
      </c>
      <c r="O94" s="34">
        <f t="shared" si="13"/>
        <v>356.35198198198196</v>
      </c>
      <c r="P94" s="35">
        <f t="shared" si="11"/>
        <v>78.400000000000006</v>
      </c>
      <c r="Q94" s="40">
        <f t="shared" si="15"/>
        <v>712.70396396396393</v>
      </c>
      <c r="R94" s="35"/>
    </row>
    <row r="95" spans="1:18" x14ac:dyDescent="0.3">
      <c r="A95" s="32">
        <v>43721</v>
      </c>
      <c r="B95" s="33" t="s">
        <v>84</v>
      </c>
      <c r="C95" s="34">
        <v>1921</v>
      </c>
      <c r="D95" s="33">
        <v>80</v>
      </c>
      <c r="E95" s="35">
        <v>257.98</v>
      </c>
      <c r="F95" s="35">
        <v>1921</v>
      </c>
      <c r="G95" s="34">
        <v>257.98</v>
      </c>
      <c r="H95" s="34">
        <v>0</v>
      </c>
      <c r="I95" s="34">
        <v>2178.98</v>
      </c>
      <c r="J95" s="34">
        <v>336.06</v>
      </c>
      <c r="K95" s="34">
        <v>2515.04</v>
      </c>
      <c r="L95" s="33" t="s">
        <v>14</v>
      </c>
      <c r="M95" s="34">
        <f t="shared" si="12"/>
        <v>20.269581395348837</v>
      </c>
      <c r="N95" s="27">
        <v>107.5</v>
      </c>
      <c r="O95" s="34">
        <f t="shared" si="13"/>
        <v>278.70674418604654</v>
      </c>
      <c r="P95" s="35">
        <f t="shared" si="11"/>
        <v>58.53</v>
      </c>
      <c r="Q95" s="40">
        <f t="shared" si="15"/>
        <v>557.41348837209307</v>
      </c>
      <c r="R95" s="35"/>
    </row>
    <row r="96" spans="1:18" x14ac:dyDescent="0.3">
      <c r="A96" s="32">
        <v>43735</v>
      </c>
      <c r="B96" s="33" t="s">
        <v>84</v>
      </c>
      <c r="C96" s="34">
        <v>2254</v>
      </c>
      <c r="D96" s="33">
        <v>80</v>
      </c>
      <c r="E96" s="35">
        <v>419.86</v>
      </c>
      <c r="F96" s="35">
        <v>2604</v>
      </c>
      <c r="G96" s="34">
        <v>419.86</v>
      </c>
      <c r="H96" s="34">
        <v>350</v>
      </c>
      <c r="I96" s="34">
        <v>3023.86</v>
      </c>
      <c r="J96" s="34">
        <v>391.86</v>
      </c>
      <c r="K96" s="34">
        <v>3415.72</v>
      </c>
      <c r="L96" s="33" t="s">
        <v>14</v>
      </c>
      <c r="M96" s="34">
        <f t="shared" si="12"/>
        <v>24.385967741935485</v>
      </c>
      <c r="N96" s="27">
        <v>124</v>
      </c>
      <c r="O96" s="34">
        <f t="shared" si="13"/>
        <v>536.49129032258065</v>
      </c>
      <c r="P96" s="35">
        <f t="shared" si="11"/>
        <v>112.66</v>
      </c>
      <c r="Q96" s="40">
        <f t="shared" si="15"/>
        <v>1072.9825806451613</v>
      </c>
      <c r="R96" s="35"/>
    </row>
    <row r="97" spans="1:18" x14ac:dyDescent="0.3">
      <c r="A97" s="32">
        <v>43749</v>
      </c>
      <c r="B97" s="33" t="s">
        <v>84</v>
      </c>
      <c r="C97" s="34">
        <v>2730</v>
      </c>
      <c r="D97" s="33">
        <v>80</v>
      </c>
      <c r="E97" s="35">
        <v>451.18</v>
      </c>
      <c r="F97" s="35">
        <v>2730</v>
      </c>
      <c r="G97" s="34">
        <v>451.18</v>
      </c>
      <c r="H97" s="34">
        <v>0</v>
      </c>
      <c r="I97" s="34">
        <v>3181.18</v>
      </c>
      <c r="J97" s="34">
        <v>403.9</v>
      </c>
      <c r="K97" s="34">
        <v>3585.08</v>
      </c>
      <c r="L97" s="33" t="s">
        <v>14</v>
      </c>
      <c r="M97" s="34">
        <f t="shared" si="12"/>
        <v>25.247460317460316</v>
      </c>
      <c r="N97" s="27">
        <v>126</v>
      </c>
      <c r="O97" s="34">
        <f t="shared" si="13"/>
        <v>580.69158730158722</v>
      </c>
      <c r="P97" s="35">
        <f t="shared" si="11"/>
        <v>116.14</v>
      </c>
      <c r="Q97" s="40">
        <f t="shared" si="15"/>
        <v>1161.3831746031744</v>
      </c>
      <c r="R97" s="35"/>
    </row>
    <row r="98" spans="1:18" x14ac:dyDescent="0.3">
      <c r="A98" s="32">
        <v>43763</v>
      </c>
      <c r="B98" s="33" t="s">
        <v>84</v>
      </c>
      <c r="C98" s="34">
        <v>1603</v>
      </c>
      <c r="D98" s="33">
        <v>80</v>
      </c>
      <c r="E98" s="35">
        <v>264.95999999999998</v>
      </c>
      <c r="F98" s="35">
        <v>1953</v>
      </c>
      <c r="G98" s="34">
        <v>264.95999999999998</v>
      </c>
      <c r="H98" s="34">
        <v>350</v>
      </c>
      <c r="I98" s="34">
        <v>2217.96</v>
      </c>
      <c r="J98" s="34">
        <v>330.22</v>
      </c>
      <c r="K98" s="34">
        <v>2548.1799999999998</v>
      </c>
      <c r="L98" s="33" t="s">
        <v>14</v>
      </c>
      <c r="M98" s="34">
        <f t="shared" si="12"/>
        <v>23.849032258064515</v>
      </c>
      <c r="N98" s="27">
        <v>93</v>
      </c>
      <c r="O98" s="34">
        <f t="shared" si="13"/>
        <v>155.01870967741934</v>
      </c>
      <c r="P98" s="35">
        <f t="shared" si="11"/>
        <v>31</v>
      </c>
      <c r="Q98" s="40">
        <f t="shared" si="15"/>
        <v>310.03741935483868</v>
      </c>
      <c r="R98" s="35"/>
    </row>
    <row r="99" spans="1:18" x14ac:dyDescent="0.3">
      <c r="A99" s="32">
        <v>43777</v>
      </c>
      <c r="B99" s="33" t="s">
        <v>84</v>
      </c>
      <c r="C99" s="34">
        <v>2425</v>
      </c>
      <c r="D99" s="33">
        <v>80</v>
      </c>
      <c r="E99" s="35">
        <v>375.38</v>
      </c>
      <c r="F99" s="35">
        <v>2425</v>
      </c>
      <c r="G99" s="34">
        <v>375.38</v>
      </c>
      <c r="H99" s="34">
        <v>0</v>
      </c>
      <c r="I99" s="34">
        <v>2800.38</v>
      </c>
      <c r="J99" s="34">
        <v>374.77</v>
      </c>
      <c r="K99" s="34">
        <v>3175.15</v>
      </c>
      <c r="L99" s="33" t="s">
        <v>14</v>
      </c>
      <c r="M99" s="34">
        <f t="shared" si="12"/>
        <v>25.115515695067266</v>
      </c>
      <c r="N99" s="27">
        <v>111.5</v>
      </c>
      <c r="O99" s="34">
        <f t="shared" si="13"/>
        <v>395.56937219730946</v>
      </c>
      <c r="P99" s="35">
        <f t="shared" si="11"/>
        <v>79.11</v>
      </c>
      <c r="Q99" s="40">
        <f t="shared" si="15"/>
        <v>791.13874439461893</v>
      </c>
      <c r="R99" s="35"/>
    </row>
    <row r="100" spans="1:18" x14ac:dyDescent="0.3">
      <c r="A100" s="32">
        <v>43791</v>
      </c>
      <c r="B100" s="33" t="s">
        <v>84</v>
      </c>
      <c r="C100" s="34">
        <v>1680</v>
      </c>
      <c r="D100" s="36">
        <v>41</v>
      </c>
      <c r="E100" s="35">
        <v>205.42</v>
      </c>
      <c r="F100" s="35">
        <v>1680</v>
      </c>
      <c r="G100" s="34">
        <v>205.42</v>
      </c>
      <c r="H100" s="34">
        <v>0</v>
      </c>
      <c r="I100" s="34">
        <v>1885.42</v>
      </c>
      <c r="J100" s="34">
        <v>304.77</v>
      </c>
      <c r="K100" s="34">
        <v>2190.19</v>
      </c>
      <c r="L100" s="33" t="s">
        <v>14</v>
      </c>
      <c r="M100" s="34">
        <f t="shared" si="12"/>
        <v>23.56775</v>
      </c>
      <c r="N100" s="27">
        <v>80</v>
      </c>
      <c r="O100" s="38">
        <f>(M100*0.5)*1</f>
        <v>11.783875</v>
      </c>
      <c r="P100" s="35">
        <f t="shared" si="11"/>
        <v>2.2400000000000002</v>
      </c>
      <c r="Q100" s="40">
        <f t="shared" si="15"/>
        <v>23.56775</v>
      </c>
      <c r="R100" s="35"/>
    </row>
    <row r="101" spans="1:18" x14ac:dyDescent="0.3">
      <c r="A101" s="29">
        <v>43805</v>
      </c>
      <c r="B101" s="33" t="s">
        <v>84</v>
      </c>
      <c r="C101" s="34">
        <v>977</v>
      </c>
      <c r="D101" s="36">
        <v>47.5</v>
      </c>
      <c r="E101" s="35">
        <v>129.97999999999999</v>
      </c>
      <c r="F101" s="35">
        <v>977</v>
      </c>
      <c r="G101" s="34">
        <v>129.97999999999999</v>
      </c>
      <c r="H101" s="34">
        <v>0</v>
      </c>
      <c r="I101" s="34">
        <v>1106.98</v>
      </c>
      <c r="J101" s="34">
        <v>245.23</v>
      </c>
      <c r="K101" s="34">
        <v>1352.21</v>
      </c>
      <c r="L101" s="33" t="s">
        <v>14</v>
      </c>
      <c r="M101" s="34">
        <f t="shared" si="12"/>
        <v>23.304842105263159</v>
      </c>
      <c r="N101" s="27">
        <v>47.5</v>
      </c>
      <c r="O101" s="38">
        <f>(M101*0.5)*7.5</f>
        <v>87.393157894736845</v>
      </c>
      <c r="P101" s="35">
        <f t="shared" si="11"/>
        <v>16.600000000000001</v>
      </c>
      <c r="Q101" s="40">
        <f t="shared" si="15"/>
        <v>174.78631578947369</v>
      </c>
      <c r="R101" s="35"/>
    </row>
    <row r="102" spans="1:18" x14ac:dyDescent="0.3">
      <c r="A102" s="32">
        <v>43819</v>
      </c>
      <c r="B102" s="33" t="s">
        <v>84</v>
      </c>
      <c r="C102" s="34">
        <v>2226</v>
      </c>
      <c r="D102" s="33">
        <v>80</v>
      </c>
      <c r="E102" s="35">
        <v>325.94</v>
      </c>
      <c r="F102" s="35">
        <v>2226</v>
      </c>
      <c r="G102" s="34">
        <v>325.94</v>
      </c>
      <c r="H102" s="34">
        <v>0</v>
      </c>
      <c r="I102" s="34">
        <v>2551.94</v>
      </c>
      <c r="J102" s="34">
        <v>355.76</v>
      </c>
      <c r="K102" s="34">
        <v>2907.7</v>
      </c>
      <c r="L102" s="33" t="s">
        <v>14</v>
      </c>
      <c r="M102" s="34">
        <f t="shared" si="12"/>
        <v>24.074905660377357</v>
      </c>
      <c r="N102" s="27">
        <v>106</v>
      </c>
      <c r="O102" s="34">
        <f t="shared" si="13"/>
        <v>312.97377358490564</v>
      </c>
      <c r="P102" s="35">
        <f t="shared" si="11"/>
        <v>56.34</v>
      </c>
      <c r="Q102" s="40">
        <f t="shared" si="15"/>
        <v>625.94754716981129</v>
      </c>
      <c r="R102" s="35"/>
    </row>
    <row r="103" spans="1:18" x14ac:dyDescent="0.3">
      <c r="A103" s="32">
        <v>43833</v>
      </c>
      <c r="B103" s="33" t="s">
        <v>84</v>
      </c>
      <c r="C103" s="34">
        <v>1892</v>
      </c>
      <c r="D103" s="36">
        <v>55</v>
      </c>
      <c r="E103" s="35">
        <v>247.44</v>
      </c>
      <c r="F103" s="35">
        <v>1892</v>
      </c>
      <c r="G103" s="34">
        <v>247.44</v>
      </c>
      <c r="H103" s="34">
        <v>0</v>
      </c>
      <c r="I103" s="34">
        <v>2139.44</v>
      </c>
      <c r="J103" s="34">
        <v>372.14</v>
      </c>
      <c r="K103" s="34">
        <v>2511.58</v>
      </c>
      <c r="L103" s="33" t="s">
        <v>14</v>
      </c>
      <c r="M103" s="34">
        <f t="shared" si="12"/>
        <v>24.877209302325582</v>
      </c>
      <c r="N103" s="27">
        <v>86</v>
      </c>
      <c r="O103" s="38">
        <f>(M103*0.5)*15</f>
        <v>186.57906976744187</v>
      </c>
      <c r="P103" s="35">
        <f t="shared" si="11"/>
        <v>33.58</v>
      </c>
      <c r="Q103" s="40">
        <f t="shared" si="15"/>
        <v>373.15813953488373</v>
      </c>
      <c r="R103" s="35"/>
    </row>
    <row r="104" spans="1:18" x14ac:dyDescent="0.3">
      <c r="A104" s="29">
        <v>43847</v>
      </c>
      <c r="B104" s="33" t="s">
        <v>84</v>
      </c>
      <c r="C104" s="34">
        <v>2310</v>
      </c>
      <c r="D104" s="33">
        <v>80</v>
      </c>
      <c r="E104" s="35">
        <v>0</v>
      </c>
      <c r="F104" s="35">
        <v>2310</v>
      </c>
      <c r="G104" s="34">
        <v>277.97000000000003</v>
      </c>
      <c r="H104" s="34">
        <v>0</v>
      </c>
      <c r="I104" s="34">
        <v>2587.9699999999998</v>
      </c>
      <c r="J104" s="34">
        <v>389</v>
      </c>
      <c r="K104" s="34">
        <v>2976.97</v>
      </c>
      <c r="L104" s="33" t="s">
        <v>14</v>
      </c>
      <c r="M104" s="34">
        <f t="shared" si="12"/>
        <v>21.095890410958905</v>
      </c>
      <c r="N104" s="27">
        <v>109.5</v>
      </c>
      <c r="O104" s="34">
        <f t="shared" si="13"/>
        <v>311.16438356164383</v>
      </c>
      <c r="P104" s="35">
        <f t="shared" si="11"/>
        <v>52.9</v>
      </c>
      <c r="Q104" s="40">
        <f t="shared" si="15"/>
        <v>622.32876712328766</v>
      </c>
      <c r="R104" s="35"/>
    </row>
    <row r="105" spans="1:18" x14ac:dyDescent="0.3">
      <c r="A105" s="29">
        <v>43861</v>
      </c>
      <c r="B105" s="33" t="s">
        <v>84</v>
      </c>
      <c r="C105" s="34">
        <v>2205</v>
      </c>
      <c r="D105" s="33">
        <v>80</v>
      </c>
      <c r="E105" s="35">
        <v>0</v>
      </c>
      <c r="F105" s="35">
        <v>2205</v>
      </c>
      <c r="G105" s="34">
        <v>259.17</v>
      </c>
      <c r="H105" s="34">
        <v>0</v>
      </c>
      <c r="I105" s="34">
        <v>2464.17</v>
      </c>
      <c r="J105" s="34">
        <v>378.61</v>
      </c>
      <c r="K105" s="34">
        <v>2842.78</v>
      </c>
      <c r="L105" s="33" t="s">
        <v>14</v>
      </c>
      <c r="M105" s="34">
        <f t="shared" si="12"/>
        <v>21</v>
      </c>
      <c r="N105" s="27">
        <v>105</v>
      </c>
      <c r="O105" s="34">
        <f t="shared" si="13"/>
        <v>262.5</v>
      </c>
      <c r="P105" s="35">
        <f t="shared" si="11"/>
        <v>44.63</v>
      </c>
      <c r="Q105" s="40">
        <f t="shared" si="15"/>
        <v>525</v>
      </c>
      <c r="R105" s="35"/>
    </row>
    <row r="106" spans="1:18" x14ac:dyDescent="0.3">
      <c r="A106" s="29">
        <v>43875</v>
      </c>
      <c r="B106" s="33" t="s">
        <v>84</v>
      </c>
      <c r="C106" s="34">
        <v>2226</v>
      </c>
      <c r="D106" s="33">
        <v>80</v>
      </c>
      <c r="E106" s="35">
        <v>0</v>
      </c>
      <c r="F106" s="35">
        <v>2226</v>
      </c>
      <c r="G106" s="34">
        <v>254.11</v>
      </c>
      <c r="H106" s="34">
        <v>0</v>
      </c>
      <c r="I106" s="34">
        <v>2480.11</v>
      </c>
      <c r="J106" s="34">
        <v>321.29000000000002</v>
      </c>
      <c r="K106" s="34">
        <v>2801.4</v>
      </c>
      <c r="L106" s="33" t="s">
        <v>14</v>
      </c>
      <c r="M106" s="34">
        <f t="shared" si="12"/>
        <v>21</v>
      </c>
      <c r="N106" s="27">
        <v>106</v>
      </c>
      <c r="O106" s="34">
        <f t="shared" si="13"/>
        <v>273</v>
      </c>
      <c r="P106" s="35">
        <f t="shared" si="11"/>
        <v>43.68</v>
      </c>
      <c r="Q106" s="40">
        <f t="shared" si="15"/>
        <v>546</v>
      </c>
      <c r="R106" s="35"/>
    </row>
    <row r="107" spans="1:18" x14ac:dyDescent="0.3">
      <c r="A107" s="29">
        <v>43889</v>
      </c>
      <c r="B107" s="33" t="s">
        <v>84</v>
      </c>
      <c r="C107" s="34">
        <v>2310</v>
      </c>
      <c r="D107" s="33">
        <v>80</v>
      </c>
      <c r="E107" s="35">
        <v>0</v>
      </c>
      <c r="F107" s="35">
        <v>2310</v>
      </c>
      <c r="G107" s="34">
        <v>269.14</v>
      </c>
      <c r="H107" s="34">
        <v>0</v>
      </c>
      <c r="I107" s="34">
        <v>2579.14</v>
      </c>
      <c r="J107" s="34">
        <v>327.02</v>
      </c>
      <c r="K107" s="34">
        <v>2906.16</v>
      </c>
      <c r="L107" s="33" t="s">
        <v>14</v>
      </c>
      <c r="M107" s="34">
        <f t="shared" si="12"/>
        <v>21</v>
      </c>
      <c r="N107" s="27">
        <v>110</v>
      </c>
      <c r="O107" s="34">
        <f t="shared" si="13"/>
        <v>315</v>
      </c>
      <c r="P107" s="35">
        <f t="shared" si="11"/>
        <v>50.4</v>
      </c>
      <c r="Q107" s="40">
        <f t="shared" si="15"/>
        <v>630</v>
      </c>
      <c r="R107" s="35"/>
    </row>
    <row r="108" spans="1:18" x14ac:dyDescent="0.3">
      <c r="A108" s="29">
        <v>43903</v>
      </c>
      <c r="B108" s="33" t="s">
        <v>84</v>
      </c>
      <c r="C108" s="34">
        <v>2215</v>
      </c>
      <c r="D108" s="33">
        <v>80</v>
      </c>
      <c r="E108" s="35">
        <v>0</v>
      </c>
      <c r="F108" s="35">
        <v>2215</v>
      </c>
      <c r="G108" s="34">
        <v>252.14</v>
      </c>
      <c r="H108" s="34">
        <v>0</v>
      </c>
      <c r="I108" s="34">
        <v>2467.14</v>
      </c>
      <c r="J108" s="34">
        <v>318.19</v>
      </c>
      <c r="K108" s="34">
        <v>2785.33</v>
      </c>
      <c r="L108" s="33" t="s">
        <v>14</v>
      </c>
      <c r="M108" s="34">
        <f t="shared" si="12"/>
        <v>20.995260663507111</v>
      </c>
      <c r="N108" s="27">
        <v>105.5</v>
      </c>
      <c r="O108" s="34">
        <f t="shared" si="13"/>
        <v>267.68957345971569</v>
      </c>
      <c r="P108" s="35">
        <f t="shared" si="11"/>
        <v>40.15</v>
      </c>
      <c r="Q108" s="40">
        <f t="shared" si="15"/>
        <v>535.37914691943138</v>
      </c>
      <c r="R108" s="35"/>
    </row>
    <row r="109" spans="1:18" x14ac:dyDescent="0.3">
      <c r="A109" s="29">
        <v>43917</v>
      </c>
      <c r="B109" s="33" t="s">
        <v>84</v>
      </c>
      <c r="C109" s="34">
        <v>1050</v>
      </c>
      <c r="D109" s="30">
        <v>50</v>
      </c>
      <c r="E109" s="35">
        <v>0</v>
      </c>
      <c r="F109" s="35">
        <v>1050</v>
      </c>
      <c r="G109" s="34">
        <v>104.03</v>
      </c>
      <c r="H109" s="34">
        <v>0</v>
      </c>
      <c r="I109" s="34">
        <v>1154.03</v>
      </c>
      <c r="J109" s="34">
        <v>167.8</v>
      </c>
      <c r="K109" s="34">
        <v>1321.83</v>
      </c>
      <c r="L109" s="33" t="s">
        <v>14</v>
      </c>
      <c r="M109" s="34">
        <f t="shared" si="12"/>
        <v>21</v>
      </c>
      <c r="N109" s="27">
        <v>50</v>
      </c>
      <c r="O109" s="34">
        <v>0</v>
      </c>
      <c r="P109" s="35">
        <f t="shared" si="11"/>
        <v>0</v>
      </c>
      <c r="Q109" s="40">
        <f t="shared" si="15"/>
        <v>0</v>
      </c>
      <c r="R109" s="35"/>
    </row>
    <row r="110" spans="1:18" hidden="1" x14ac:dyDescent="0.3">
      <c r="A110" s="37" t="s">
        <v>77</v>
      </c>
      <c r="B110" s="33" t="s">
        <v>85</v>
      </c>
      <c r="C110" s="34">
        <v>2929</v>
      </c>
      <c r="D110" s="33">
        <v>80</v>
      </c>
      <c r="E110" s="33">
        <v>257.64</v>
      </c>
      <c r="F110" s="33">
        <v>2960</v>
      </c>
      <c r="G110" s="34">
        <v>288.64</v>
      </c>
      <c r="H110" s="34">
        <v>0</v>
      </c>
      <c r="I110" s="34">
        <v>3217.64</v>
      </c>
      <c r="J110" s="34">
        <v>484.24</v>
      </c>
      <c r="K110" s="34">
        <v>3701.88</v>
      </c>
      <c r="L110" s="33" t="s">
        <v>14</v>
      </c>
      <c r="M110" s="34" t="e">
        <f t="shared" si="12"/>
        <v>#DIV/0!</v>
      </c>
      <c r="N110" s="27"/>
      <c r="O110" s="34" t="e">
        <f t="shared" si="13"/>
        <v>#DIV/0!</v>
      </c>
      <c r="P110" s="35" t="e">
        <f t="shared" si="11"/>
        <v>#VALUE!</v>
      </c>
      <c r="Q110" s="34" t="e">
        <f t="shared" si="14"/>
        <v>#DIV/0!</v>
      </c>
      <c r="R110" s="35">
        <v>409.55</v>
      </c>
    </row>
    <row r="111" spans="1:18" hidden="1" x14ac:dyDescent="0.3">
      <c r="A111" s="37" t="s">
        <v>77</v>
      </c>
      <c r="B111" s="33" t="s">
        <v>85</v>
      </c>
      <c r="C111" s="34">
        <v>1703</v>
      </c>
      <c r="D111" s="33">
        <v>70.5</v>
      </c>
      <c r="E111" s="33">
        <v>185.87</v>
      </c>
      <c r="F111" s="33">
        <v>2256</v>
      </c>
      <c r="G111" s="34">
        <v>538.87</v>
      </c>
      <c r="H111" s="34">
        <v>200</v>
      </c>
      <c r="I111" s="34">
        <v>2441.87</v>
      </c>
      <c r="J111" s="34">
        <v>387.12</v>
      </c>
      <c r="K111" s="34">
        <v>2828.99</v>
      </c>
      <c r="L111" s="33" t="s">
        <v>14</v>
      </c>
      <c r="M111" s="34" t="e">
        <f t="shared" si="12"/>
        <v>#DIV/0!</v>
      </c>
      <c r="N111" s="27"/>
      <c r="O111" s="34" t="e">
        <f t="shared" si="13"/>
        <v>#DIV/0!</v>
      </c>
      <c r="P111" s="35" t="e">
        <f t="shared" si="11"/>
        <v>#VALUE!</v>
      </c>
      <c r="Q111" s="34" t="e">
        <f t="shared" si="14"/>
        <v>#DIV/0!</v>
      </c>
      <c r="R111" s="35"/>
    </row>
    <row r="112" spans="1:18" hidden="1" x14ac:dyDescent="0.3">
      <c r="A112" s="37" t="s">
        <v>77</v>
      </c>
      <c r="B112" s="33" t="s">
        <v>85</v>
      </c>
      <c r="C112" s="34">
        <v>3064</v>
      </c>
      <c r="D112" s="33">
        <v>102</v>
      </c>
      <c r="E112" s="33">
        <v>1074.73</v>
      </c>
      <c r="F112" s="33">
        <v>3060</v>
      </c>
      <c r="G112" s="34">
        <v>1070.73</v>
      </c>
      <c r="H112" s="34">
        <v>0</v>
      </c>
      <c r="I112" s="34">
        <v>4134.7299999999996</v>
      </c>
      <c r="J112" s="34">
        <v>603.87</v>
      </c>
      <c r="K112" s="34">
        <v>4738.6000000000004</v>
      </c>
      <c r="L112" s="33">
        <v>100112</v>
      </c>
      <c r="M112" s="34" t="e">
        <f t="shared" si="12"/>
        <v>#DIV/0!</v>
      </c>
      <c r="N112" s="27"/>
      <c r="O112" s="34" t="e">
        <f t="shared" si="13"/>
        <v>#DIV/0!</v>
      </c>
      <c r="P112" s="35" t="e">
        <f t="shared" si="11"/>
        <v>#VALUE!</v>
      </c>
      <c r="Q112" s="34" t="e">
        <f t="shared" si="14"/>
        <v>#DIV/0!</v>
      </c>
      <c r="R112" s="35"/>
    </row>
    <row r="113" spans="1:18" hidden="1" x14ac:dyDescent="0.3">
      <c r="A113" s="37" t="s">
        <v>77</v>
      </c>
      <c r="B113" s="33" t="s">
        <v>85</v>
      </c>
      <c r="C113" s="34">
        <v>2687</v>
      </c>
      <c r="D113" s="33">
        <v>80</v>
      </c>
      <c r="E113" s="33">
        <v>296.02999999999997</v>
      </c>
      <c r="F113" s="33">
        <v>2912</v>
      </c>
      <c r="G113" s="34">
        <v>296.02999999999997</v>
      </c>
      <c r="H113" s="34">
        <v>225</v>
      </c>
      <c r="I113" s="34">
        <v>3208.03</v>
      </c>
      <c r="J113" s="34">
        <v>483.27</v>
      </c>
      <c r="K113" s="34">
        <v>3691.3</v>
      </c>
      <c r="L113" s="33" t="s">
        <v>14</v>
      </c>
      <c r="M113" s="34" t="e">
        <f t="shared" si="12"/>
        <v>#DIV/0!</v>
      </c>
      <c r="N113" s="27"/>
      <c r="O113" s="34" t="e">
        <f t="shared" si="13"/>
        <v>#DIV/0!</v>
      </c>
      <c r="P113" s="35" t="e">
        <f t="shared" si="11"/>
        <v>#VALUE!</v>
      </c>
      <c r="Q113" s="34" t="e">
        <f t="shared" si="14"/>
        <v>#DIV/0!</v>
      </c>
      <c r="R113" s="35"/>
    </row>
    <row r="114" spans="1:18" hidden="1" x14ac:dyDescent="0.3">
      <c r="A114" s="37" t="s">
        <v>77</v>
      </c>
      <c r="B114" s="33" t="s">
        <v>85</v>
      </c>
      <c r="C114" s="34">
        <v>2996</v>
      </c>
      <c r="D114" s="33">
        <v>0</v>
      </c>
      <c r="E114" s="33">
        <v>2996</v>
      </c>
      <c r="F114" s="33">
        <v>0</v>
      </c>
      <c r="G114" s="34">
        <v>966.14</v>
      </c>
      <c r="H114" s="34">
        <v>0</v>
      </c>
      <c r="I114" s="34">
        <v>3962.14</v>
      </c>
      <c r="J114" s="34">
        <v>397.57</v>
      </c>
      <c r="K114" s="34">
        <v>4359.71</v>
      </c>
      <c r="L114" s="33" t="s">
        <v>14</v>
      </c>
      <c r="M114" s="34" t="e">
        <f t="shared" si="12"/>
        <v>#DIV/0!</v>
      </c>
      <c r="N114" s="27"/>
      <c r="O114" s="34" t="e">
        <f t="shared" si="13"/>
        <v>#DIV/0!</v>
      </c>
      <c r="P114" s="35" t="e">
        <f t="shared" si="11"/>
        <v>#VALUE!</v>
      </c>
      <c r="Q114" s="34" t="e">
        <f t="shared" si="14"/>
        <v>#DIV/0!</v>
      </c>
      <c r="R114" s="35"/>
    </row>
    <row r="115" spans="1:18" hidden="1" x14ac:dyDescent="0.3">
      <c r="A115" s="37" t="s">
        <v>77</v>
      </c>
      <c r="B115" s="33" t="s">
        <v>85</v>
      </c>
      <c r="C115" s="34">
        <v>3122</v>
      </c>
      <c r="D115" s="33">
        <v>80</v>
      </c>
      <c r="E115" s="33">
        <v>1809.59</v>
      </c>
      <c r="F115" s="33">
        <v>2400</v>
      </c>
      <c r="G115" s="34">
        <v>1087.5899999999999</v>
      </c>
      <c r="H115" s="34">
        <v>0</v>
      </c>
      <c r="I115" s="34">
        <v>4209.59</v>
      </c>
      <c r="J115" s="34">
        <v>558.77</v>
      </c>
      <c r="K115" s="34">
        <v>4768.3599999999997</v>
      </c>
      <c r="L115" s="33" t="s">
        <v>14</v>
      </c>
      <c r="M115" s="34" t="e">
        <f t="shared" si="12"/>
        <v>#DIV/0!</v>
      </c>
      <c r="N115" s="27"/>
      <c r="O115" s="34" t="e">
        <f t="shared" si="13"/>
        <v>#DIV/0!</v>
      </c>
      <c r="P115" s="35" t="e">
        <f t="shared" si="11"/>
        <v>#VALUE!</v>
      </c>
      <c r="Q115" s="34" t="e">
        <f t="shared" si="14"/>
        <v>#DIV/0!</v>
      </c>
      <c r="R115" s="35"/>
    </row>
    <row r="116" spans="1:18" hidden="1" x14ac:dyDescent="0.3">
      <c r="A116" s="37" t="s">
        <v>77</v>
      </c>
      <c r="B116" s="33" t="s">
        <v>85</v>
      </c>
      <c r="C116" s="34">
        <v>3080</v>
      </c>
      <c r="D116" s="33">
        <v>80</v>
      </c>
      <c r="E116" s="33">
        <v>1747.88</v>
      </c>
      <c r="F116" s="33">
        <v>2400</v>
      </c>
      <c r="G116" s="34">
        <v>1067.8800000000001</v>
      </c>
      <c r="H116" s="34">
        <v>0</v>
      </c>
      <c r="I116" s="34">
        <v>4147.88</v>
      </c>
      <c r="J116" s="34">
        <v>552.91</v>
      </c>
      <c r="K116" s="34">
        <v>4700.79</v>
      </c>
      <c r="L116" s="33" t="s">
        <v>14</v>
      </c>
      <c r="M116" s="34" t="e">
        <f t="shared" si="12"/>
        <v>#DIV/0!</v>
      </c>
      <c r="N116" s="27"/>
      <c r="O116" s="34" t="e">
        <f t="shared" si="13"/>
        <v>#DIV/0!</v>
      </c>
      <c r="P116" s="35" t="e">
        <f t="shared" si="11"/>
        <v>#VALUE!</v>
      </c>
      <c r="Q116" s="34" t="e">
        <f t="shared" si="14"/>
        <v>#DIV/0!</v>
      </c>
      <c r="R116" s="35"/>
    </row>
    <row r="117" spans="1:18" hidden="1" x14ac:dyDescent="0.3">
      <c r="A117" s="37" t="s">
        <v>77</v>
      </c>
      <c r="B117" s="33" t="s">
        <v>85</v>
      </c>
      <c r="C117" s="34">
        <v>3080</v>
      </c>
      <c r="D117" s="33">
        <v>80</v>
      </c>
      <c r="E117" s="33">
        <v>1747.93</v>
      </c>
      <c r="F117" s="33">
        <v>2400</v>
      </c>
      <c r="G117" s="34">
        <v>1067.93</v>
      </c>
      <c r="H117" s="34">
        <v>0</v>
      </c>
      <c r="I117" s="34">
        <v>4147.93</v>
      </c>
      <c r="J117" s="34">
        <v>552.95000000000005</v>
      </c>
      <c r="K117" s="34">
        <v>4700.88</v>
      </c>
      <c r="L117" s="33" t="s">
        <v>14</v>
      </c>
      <c r="M117" s="34" t="e">
        <f t="shared" si="12"/>
        <v>#DIV/0!</v>
      </c>
      <c r="N117" s="27"/>
      <c r="O117" s="34" t="e">
        <f t="shared" si="13"/>
        <v>#DIV/0!</v>
      </c>
      <c r="P117" s="35" t="e">
        <f t="shared" si="11"/>
        <v>#VALUE!</v>
      </c>
      <c r="Q117" s="34" t="e">
        <f t="shared" si="14"/>
        <v>#DIV/0!</v>
      </c>
      <c r="R117" s="35"/>
    </row>
    <row r="118" spans="1:18" x14ac:dyDescent="0.3">
      <c r="A118" s="32">
        <v>43623</v>
      </c>
      <c r="B118" s="33" t="s">
        <v>85</v>
      </c>
      <c r="C118" s="34">
        <v>1039</v>
      </c>
      <c r="D118" s="30">
        <v>40</v>
      </c>
      <c r="E118" s="35">
        <v>294.92</v>
      </c>
      <c r="F118" s="35">
        <v>1530</v>
      </c>
      <c r="G118" s="34">
        <v>345.92</v>
      </c>
      <c r="H118" s="34">
        <v>440</v>
      </c>
      <c r="I118" s="34">
        <v>1824.92</v>
      </c>
      <c r="J118" s="34">
        <v>271.86</v>
      </c>
      <c r="K118" s="34">
        <v>2096.7800000000002</v>
      </c>
      <c r="L118" s="33" t="s">
        <v>14</v>
      </c>
      <c r="M118" s="34">
        <f t="shared" si="12"/>
        <v>45.623000000000005</v>
      </c>
      <c r="N118" s="27">
        <v>40</v>
      </c>
      <c r="O118" s="34">
        <v>0</v>
      </c>
      <c r="P118" s="35">
        <f t="shared" si="11"/>
        <v>0</v>
      </c>
      <c r="Q118" s="40">
        <f t="shared" ref="Q118:Q181" si="16">O118*2</f>
        <v>0</v>
      </c>
      <c r="R118" s="35">
        <v>556.29999999999995</v>
      </c>
    </row>
    <row r="119" spans="1:18" x14ac:dyDescent="0.3">
      <c r="A119" s="32">
        <v>43637</v>
      </c>
      <c r="B119" s="33" t="s">
        <v>85</v>
      </c>
      <c r="C119" s="34">
        <v>2760</v>
      </c>
      <c r="D119" s="33">
        <v>80</v>
      </c>
      <c r="E119" s="35">
        <v>1392.93</v>
      </c>
      <c r="F119" s="35">
        <v>2400</v>
      </c>
      <c r="G119" s="34">
        <v>572.92999999999995</v>
      </c>
      <c r="H119" s="34">
        <v>460</v>
      </c>
      <c r="I119" s="34">
        <v>3792.93</v>
      </c>
      <c r="J119" s="34">
        <v>512.9</v>
      </c>
      <c r="K119" s="34">
        <v>4305.83</v>
      </c>
      <c r="L119" s="33" t="s">
        <v>14</v>
      </c>
      <c r="M119" s="34">
        <f t="shared" si="12"/>
        <v>32.981999999999999</v>
      </c>
      <c r="N119" s="27">
        <v>115</v>
      </c>
      <c r="O119" s="34">
        <f t="shared" si="13"/>
        <v>577.18499999999995</v>
      </c>
      <c r="P119" s="35">
        <f t="shared" si="11"/>
        <v>138.52000000000001</v>
      </c>
      <c r="Q119" s="40">
        <f t="shared" si="16"/>
        <v>1154.3699999999999</v>
      </c>
      <c r="R119" s="35"/>
    </row>
    <row r="120" spans="1:18" x14ac:dyDescent="0.3">
      <c r="A120" s="32">
        <v>43651</v>
      </c>
      <c r="B120" s="33" t="s">
        <v>85</v>
      </c>
      <c r="C120" s="34">
        <v>508</v>
      </c>
      <c r="D120" s="36">
        <v>70.5</v>
      </c>
      <c r="E120" s="35">
        <v>25.47</v>
      </c>
      <c r="F120" s="35">
        <v>780</v>
      </c>
      <c r="G120" s="34">
        <v>77.47</v>
      </c>
      <c r="H120" s="34">
        <v>220</v>
      </c>
      <c r="I120" s="34">
        <v>805.47</v>
      </c>
      <c r="J120" s="34">
        <v>127</v>
      </c>
      <c r="K120" s="34">
        <v>932.47</v>
      </c>
      <c r="L120" s="33" t="s">
        <v>14</v>
      </c>
      <c r="M120" s="38">
        <v>16</v>
      </c>
      <c r="N120" s="27">
        <v>70.5</v>
      </c>
      <c r="O120" s="34">
        <v>0</v>
      </c>
      <c r="P120" s="35">
        <f t="shared" si="11"/>
        <v>0</v>
      </c>
      <c r="Q120" s="40">
        <f t="shared" si="16"/>
        <v>0</v>
      </c>
      <c r="R120" s="35"/>
    </row>
    <row r="121" spans="1:18" x14ac:dyDescent="0.3">
      <c r="A121" s="32">
        <v>43659</v>
      </c>
      <c r="B121" s="33" t="s">
        <v>83</v>
      </c>
      <c r="C121" s="34"/>
      <c r="D121" s="31">
        <v>68.5</v>
      </c>
      <c r="E121" s="35"/>
      <c r="F121" s="35"/>
      <c r="G121" s="34"/>
      <c r="H121" s="34"/>
      <c r="I121" s="34"/>
      <c r="J121" s="34"/>
      <c r="K121" s="34"/>
      <c r="L121" s="33"/>
      <c r="M121" s="38">
        <v>31.03</v>
      </c>
      <c r="N121" s="27">
        <v>68.5</v>
      </c>
      <c r="O121" s="50">
        <f>N121*M121</f>
        <v>2125.5550000000003</v>
      </c>
      <c r="P121" s="35">
        <f t="shared" si="11"/>
        <v>488.88</v>
      </c>
      <c r="Q121" s="40">
        <f t="shared" si="16"/>
        <v>4251.1100000000006</v>
      </c>
      <c r="R121" s="35"/>
    </row>
    <row r="122" spans="1:18" x14ac:dyDescent="0.3">
      <c r="A122" s="32">
        <v>43679</v>
      </c>
      <c r="B122" s="33" t="s">
        <v>85</v>
      </c>
      <c r="C122" s="34">
        <v>2310</v>
      </c>
      <c r="D122" s="33">
        <v>80</v>
      </c>
      <c r="E122" s="35">
        <v>431.05</v>
      </c>
      <c r="F122" s="35">
        <v>2800</v>
      </c>
      <c r="G122" s="34">
        <v>461.1</v>
      </c>
      <c r="H122" s="34">
        <v>459.95</v>
      </c>
      <c r="I122" s="34">
        <v>3231.05</v>
      </c>
      <c r="J122" s="34">
        <v>460.71</v>
      </c>
      <c r="K122" s="34">
        <v>3691.76</v>
      </c>
      <c r="L122" s="33" t="s">
        <v>14</v>
      </c>
      <c r="M122" s="34">
        <f t="shared" si="12"/>
        <v>30.196728971962617</v>
      </c>
      <c r="N122" s="27">
        <v>107</v>
      </c>
      <c r="O122" s="34">
        <f>((N122-80)*M122)*0.5</f>
        <v>407.65584112149531</v>
      </c>
      <c r="P122" s="35">
        <f t="shared" si="11"/>
        <v>93.76</v>
      </c>
      <c r="Q122" s="40">
        <f t="shared" si="16"/>
        <v>815.31168224299063</v>
      </c>
      <c r="R122" s="35"/>
    </row>
    <row r="123" spans="1:18" x14ac:dyDescent="0.3">
      <c r="A123" s="32">
        <v>43693</v>
      </c>
      <c r="B123" s="33" t="s">
        <v>85</v>
      </c>
      <c r="C123" s="34">
        <v>2450</v>
      </c>
      <c r="D123" s="33">
        <v>80</v>
      </c>
      <c r="E123" s="35">
        <v>416.4</v>
      </c>
      <c r="F123" s="35">
        <v>2590</v>
      </c>
      <c r="G123" s="34">
        <v>416.4</v>
      </c>
      <c r="H123" s="34">
        <v>140</v>
      </c>
      <c r="I123" s="34">
        <v>3006.4</v>
      </c>
      <c r="J123" s="34">
        <v>439.84</v>
      </c>
      <c r="K123" s="34">
        <v>3446.24</v>
      </c>
      <c r="L123" s="33" t="s">
        <v>14</v>
      </c>
      <c r="M123" s="34">
        <f t="shared" si="12"/>
        <v>30.36767676767677</v>
      </c>
      <c r="N123" s="27">
        <v>99</v>
      </c>
      <c r="O123" s="34">
        <f t="shared" si="13"/>
        <v>288.49292929292932</v>
      </c>
      <c r="P123" s="35">
        <f t="shared" si="11"/>
        <v>63.47</v>
      </c>
      <c r="Q123" s="40">
        <f t="shared" si="16"/>
        <v>576.98585858585864</v>
      </c>
      <c r="R123" s="35"/>
    </row>
    <row r="124" spans="1:18" x14ac:dyDescent="0.3">
      <c r="A124" s="32">
        <v>43701</v>
      </c>
      <c r="B124" s="33" t="s">
        <v>85</v>
      </c>
      <c r="C124" s="34"/>
      <c r="D124" s="31">
        <v>134</v>
      </c>
      <c r="E124" s="35"/>
      <c r="F124" s="35"/>
      <c r="G124" s="34"/>
      <c r="H124" s="34"/>
      <c r="I124" s="34"/>
      <c r="J124" s="34"/>
      <c r="K124" s="34"/>
      <c r="L124" s="33"/>
      <c r="M124" s="38">
        <v>31.03</v>
      </c>
      <c r="N124" s="27">
        <v>134</v>
      </c>
      <c r="O124" s="50">
        <f>(M124*80)+(N124-80)*(M124*1.5)</f>
        <v>4995.83</v>
      </c>
      <c r="P124" s="35">
        <f t="shared" si="11"/>
        <v>1099.08</v>
      </c>
      <c r="Q124" s="40">
        <f t="shared" si="16"/>
        <v>9991.66</v>
      </c>
      <c r="R124" s="35"/>
    </row>
    <row r="125" spans="1:18" x14ac:dyDescent="0.3">
      <c r="A125" s="32">
        <v>43715</v>
      </c>
      <c r="B125" s="33" t="s">
        <v>85</v>
      </c>
      <c r="C125" s="34"/>
      <c r="D125" s="31">
        <v>93.5</v>
      </c>
      <c r="E125" s="35"/>
      <c r="F125" s="35"/>
      <c r="G125" s="34"/>
      <c r="H125" s="34"/>
      <c r="I125" s="34"/>
      <c r="J125" s="34"/>
      <c r="K125" s="34"/>
      <c r="L125" s="33"/>
      <c r="M125" s="38">
        <v>31.03</v>
      </c>
      <c r="N125" s="27">
        <v>93.5</v>
      </c>
      <c r="O125" s="50">
        <f>(M125*79.5)+(M125*1.5)*14</f>
        <v>3118.5150000000003</v>
      </c>
      <c r="P125" s="35">
        <f t="shared" si="11"/>
        <v>686.07</v>
      </c>
      <c r="Q125" s="40">
        <f t="shared" si="16"/>
        <v>6237.0300000000007</v>
      </c>
      <c r="R125" s="35"/>
    </row>
    <row r="126" spans="1:18" x14ac:dyDescent="0.3">
      <c r="A126" s="32">
        <v>43729</v>
      </c>
      <c r="B126" s="33" t="s">
        <v>85</v>
      </c>
      <c r="C126" s="34"/>
      <c r="D126" s="31">
        <v>99.5</v>
      </c>
      <c r="E126" s="35"/>
      <c r="F126" s="35"/>
      <c r="G126" s="34"/>
      <c r="H126" s="34"/>
      <c r="I126" s="34"/>
      <c r="J126" s="34"/>
      <c r="K126" s="34"/>
      <c r="L126" s="33"/>
      <c r="M126" s="38">
        <v>31.03</v>
      </c>
      <c r="N126" s="27">
        <v>99.5</v>
      </c>
      <c r="O126" s="50">
        <f>(M126*79.5)+(M126*1.5)*20</f>
        <v>3397.7850000000003</v>
      </c>
      <c r="P126" s="35">
        <f t="shared" si="11"/>
        <v>713.53</v>
      </c>
      <c r="Q126" s="40">
        <f t="shared" si="16"/>
        <v>6795.5700000000006</v>
      </c>
      <c r="R126" s="35"/>
    </row>
    <row r="127" spans="1:18" x14ac:dyDescent="0.3">
      <c r="A127" s="32">
        <v>43154</v>
      </c>
      <c r="B127" s="33" t="s">
        <v>86</v>
      </c>
      <c r="C127" s="34"/>
      <c r="D127" s="31">
        <v>36</v>
      </c>
      <c r="E127" s="35"/>
      <c r="F127" s="35"/>
      <c r="G127" s="34"/>
      <c r="H127" s="34"/>
      <c r="I127" s="34"/>
      <c r="J127" s="34"/>
      <c r="K127" s="34"/>
      <c r="L127" s="33"/>
      <c r="M127" s="38">
        <v>25.75</v>
      </c>
      <c r="N127" s="30">
        <v>36</v>
      </c>
      <c r="O127" s="50">
        <f>N127*M127</f>
        <v>927</v>
      </c>
      <c r="P127" s="35">
        <f t="shared" si="11"/>
        <v>370.8</v>
      </c>
      <c r="Q127" s="40">
        <f t="shared" si="16"/>
        <v>1854</v>
      </c>
      <c r="R127" s="35">
        <v>556.29999999999995</v>
      </c>
    </row>
    <row r="128" spans="1:18" x14ac:dyDescent="0.3">
      <c r="A128" s="32">
        <v>43169</v>
      </c>
      <c r="B128" s="33" t="s">
        <v>86</v>
      </c>
      <c r="C128" s="34"/>
      <c r="D128" s="31">
        <v>53</v>
      </c>
      <c r="E128" s="35"/>
      <c r="F128" s="35"/>
      <c r="G128" s="34"/>
      <c r="H128" s="34"/>
      <c r="I128" s="34"/>
      <c r="J128" s="34"/>
      <c r="K128" s="34"/>
      <c r="L128" s="33"/>
      <c r="M128" s="38">
        <v>25.75</v>
      </c>
      <c r="N128" s="30">
        <v>53</v>
      </c>
      <c r="O128" s="50">
        <f>N128*M128</f>
        <v>1364.75</v>
      </c>
      <c r="P128" s="35">
        <f t="shared" si="11"/>
        <v>545.9</v>
      </c>
      <c r="Q128" s="40">
        <f t="shared" si="16"/>
        <v>2729.5</v>
      </c>
      <c r="R128" s="35"/>
    </row>
    <row r="129" spans="1:18" x14ac:dyDescent="0.3">
      <c r="A129" s="32">
        <v>43197</v>
      </c>
      <c r="B129" s="33" t="s">
        <v>86</v>
      </c>
      <c r="C129" s="34"/>
      <c r="D129" s="31">
        <v>106</v>
      </c>
      <c r="E129" s="35"/>
      <c r="F129" s="35"/>
      <c r="G129" s="34"/>
      <c r="H129" s="34"/>
      <c r="I129" s="34"/>
      <c r="J129" s="34"/>
      <c r="K129" s="34"/>
      <c r="L129" s="33"/>
      <c r="M129" s="38">
        <v>25.75</v>
      </c>
      <c r="N129" s="30">
        <v>106</v>
      </c>
      <c r="O129" s="50">
        <f t="shared" ref="O129:O135" si="17">(M129*80)+(N129-80)*(M129*1.5)</f>
        <v>3064.25</v>
      </c>
      <c r="P129" s="35">
        <f t="shared" si="11"/>
        <v>1195.06</v>
      </c>
      <c r="Q129" s="40">
        <f t="shared" si="16"/>
        <v>6128.5</v>
      </c>
      <c r="R129" s="35"/>
    </row>
    <row r="130" spans="1:18" x14ac:dyDescent="0.3">
      <c r="A130" s="32">
        <v>43211</v>
      </c>
      <c r="B130" s="33" t="s">
        <v>86</v>
      </c>
      <c r="C130" s="34"/>
      <c r="D130" s="31">
        <v>106</v>
      </c>
      <c r="E130" s="35"/>
      <c r="F130" s="35"/>
      <c r="G130" s="34"/>
      <c r="H130" s="34"/>
      <c r="I130" s="34"/>
      <c r="J130" s="34"/>
      <c r="K130" s="34"/>
      <c r="L130" s="33"/>
      <c r="M130" s="38">
        <v>25.75</v>
      </c>
      <c r="N130" s="30">
        <v>106</v>
      </c>
      <c r="O130" s="50">
        <f t="shared" si="17"/>
        <v>3064.25</v>
      </c>
      <c r="P130" s="35">
        <f t="shared" si="11"/>
        <v>1164.42</v>
      </c>
      <c r="Q130" s="40">
        <f t="shared" si="16"/>
        <v>6128.5</v>
      </c>
      <c r="R130" s="35"/>
    </row>
    <row r="131" spans="1:18" x14ac:dyDescent="0.3">
      <c r="A131" s="32">
        <v>43225</v>
      </c>
      <c r="B131" s="33" t="s">
        <v>86</v>
      </c>
      <c r="C131" s="34"/>
      <c r="D131" s="31">
        <v>106</v>
      </c>
      <c r="E131" s="35"/>
      <c r="F131" s="35"/>
      <c r="G131" s="34"/>
      <c r="H131" s="34"/>
      <c r="I131" s="34"/>
      <c r="J131" s="34"/>
      <c r="K131" s="34"/>
      <c r="L131" s="33"/>
      <c r="M131" s="38">
        <v>25.75</v>
      </c>
      <c r="N131" s="30">
        <v>106</v>
      </c>
      <c r="O131" s="50">
        <f t="shared" si="17"/>
        <v>3064.25</v>
      </c>
      <c r="P131" s="35">
        <f t="shared" si="11"/>
        <v>1164.42</v>
      </c>
      <c r="Q131" s="40">
        <f t="shared" si="16"/>
        <v>6128.5</v>
      </c>
      <c r="R131" s="35"/>
    </row>
    <row r="132" spans="1:18" x14ac:dyDescent="0.3">
      <c r="A132" s="32">
        <v>43239</v>
      </c>
      <c r="B132" s="33" t="s">
        <v>86</v>
      </c>
      <c r="C132" s="34"/>
      <c r="D132" s="31">
        <v>103</v>
      </c>
      <c r="E132" s="35"/>
      <c r="F132" s="35"/>
      <c r="G132" s="34"/>
      <c r="H132" s="34"/>
      <c r="I132" s="34"/>
      <c r="J132" s="34"/>
      <c r="K132" s="34"/>
      <c r="L132" s="33"/>
      <c r="M132" s="38">
        <v>25.75</v>
      </c>
      <c r="N132" s="30">
        <v>103</v>
      </c>
      <c r="O132" s="50">
        <f t="shared" si="17"/>
        <v>2948.375</v>
      </c>
      <c r="P132" s="35">
        <f t="shared" si="11"/>
        <v>1090.9000000000001</v>
      </c>
      <c r="Q132" s="40">
        <f t="shared" si="16"/>
        <v>5896.75</v>
      </c>
      <c r="R132" s="35"/>
    </row>
    <row r="133" spans="1:18" x14ac:dyDescent="0.3">
      <c r="A133" s="32">
        <v>43253</v>
      </c>
      <c r="B133" s="33" t="s">
        <v>86</v>
      </c>
      <c r="C133" s="34"/>
      <c r="D133" s="31">
        <v>92</v>
      </c>
      <c r="E133" s="35"/>
      <c r="F133" s="35"/>
      <c r="G133" s="34"/>
      <c r="H133" s="34"/>
      <c r="I133" s="34"/>
      <c r="J133" s="34"/>
      <c r="K133" s="34"/>
      <c r="L133" s="33"/>
      <c r="M133" s="38">
        <v>25.75</v>
      </c>
      <c r="N133" s="30">
        <v>92</v>
      </c>
      <c r="O133" s="50">
        <f t="shared" si="17"/>
        <v>2523.5</v>
      </c>
      <c r="P133" s="35">
        <f t="shared" si="11"/>
        <v>933.7</v>
      </c>
      <c r="Q133" s="40">
        <f t="shared" si="16"/>
        <v>5047</v>
      </c>
      <c r="R133" s="35"/>
    </row>
    <row r="134" spans="1:18" x14ac:dyDescent="0.3">
      <c r="A134" s="32">
        <v>43267</v>
      </c>
      <c r="B134" s="33" t="s">
        <v>86</v>
      </c>
      <c r="C134" s="34"/>
      <c r="D134" s="31">
        <v>106</v>
      </c>
      <c r="E134" s="35"/>
      <c r="F134" s="35"/>
      <c r="G134" s="34"/>
      <c r="H134" s="34"/>
      <c r="I134" s="34"/>
      <c r="J134" s="34"/>
      <c r="K134" s="34"/>
      <c r="L134" s="33"/>
      <c r="M134" s="38">
        <v>25.75</v>
      </c>
      <c r="N134" s="30">
        <v>106</v>
      </c>
      <c r="O134" s="50">
        <f t="shared" si="17"/>
        <v>3064.25</v>
      </c>
      <c r="P134" s="35">
        <f t="shared" si="11"/>
        <v>1133.77</v>
      </c>
      <c r="Q134" s="40">
        <f t="shared" si="16"/>
        <v>6128.5</v>
      </c>
      <c r="R134" s="35"/>
    </row>
    <row r="135" spans="1:18" x14ac:dyDescent="0.3">
      <c r="A135" s="32">
        <v>43281</v>
      </c>
      <c r="B135" s="33" t="s">
        <v>86</v>
      </c>
      <c r="C135" s="34"/>
      <c r="D135" s="31">
        <v>103</v>
      </c>
      <c r="E135" s="35"/>
      <c r="F135" s="35"/>
      <c r="G135" s="34"/>
      <c r="H135" s="34"/>
      <c r="I135" s="34"/>
      <c r="J135" s="34"/>
      <c r="K135" s="34"/>
      <c r="L135" s="33"/>
      <c r="M135" s="38">
        <v>25.75</v>
      </c>
      <c r="N135" s="30">
        <v>103</v>
      </c>
      <c r="O135" s="50">
        <f t="shared" si="17"/>
        <v>2948.375</v>
      </c>
      <c r="P135" s="35">
        <f t="shared" si="11"/>
        <v>1061.42</v>
      </c>
      <c r="Q135" s="40">
        <f t="shared" si="16"/>
        <v>5896.75</v>
      </c>
      <c r="R135" s="35"/>
    </row>
    <row r="136" spans="1:18" x14ac:dyDescent="0.3">
      <c r="A136" s="32">
        <v>43295</v>
      </c>
      <c r="B136" s="33" t="s">
        <v>86</v>
      </c>
      <c r="C136" s="34"/>
      <c r="D136" s="31">
        <v>72</v>
      </c>
      <c r="E136" s="35"/>
      <c r="F136" s="35"/>
      <c r="G136" s="34"/>
      <c r="H136" s="34"/>
      <c r="I136" s="34"/>
      <c r="J136" s="34"/>
      <c r="K136" s="34"/>
      <c r="L136" s="33"/>
      <c r="M136" s="38">
        <v>25.75</v>
      </c>
      <c r="N136" s="30">
        <v>72</v>
      </c>
      <c r="O136" s="50">
        <f>N136*M136</f>
        <v>1854</v>
      </c>
      <c r="P136" s="35">
        <f t="shared" si="11"/>
        <v>667.44</v>
      </c>
      <c r="Q136" s="40">
        <f t="shared" si="16"/>
        <v>3708</v>
      </c>
      <c r="R136" s="35"/>
    </row>
    <row r="137" spans="1:18" x14ac:dyDescent="0.3">
      <c r="A137" s="32">
        <v>43309</v>
      </c>
      <c r="B137" s="33" t="s">
        <v>86</v>
      </c>
      <c r="C137" s="34"/>
      <c r="D137" s="31">
        <v>87</v>
      </c>
      <c r="E137" s="35"/>
      <c r="F137" s="35"/>
      <c r="G137" s="34"/>
      <c r="H137" s="34"/>
      <c r="I137" s="34"/>
      <c r="J137" s="34"/>
      <c r="K137" s="34"/>
      <c r="L137" s="33"/>
      <c r="M137" s="38">
        <v>25.75</v>
      </c>
      <c r="N137" s="30">
        <v>87</v>
      </c>
      <c r="O137" s="50">
        <f>(M137*80)+(N137-80)*(M137*1.5)</f>
        <v>2330.375</v>
      </c>
      <c r="P137" s="35">
        <f t="shared" si="11"/>
        <v>815.63</v>
      </c>
      <c r="Q137" s="40">
        <f t="shared" si="16"/>
        <v>4660.75</v>
      </c>
      <c r="R137" s="35"/>
    </row>
    <row r="138" spans="1:18" x14ac:dyDescent="0.3">
      <c r="A138" s="32">
        <v>43323</v>
      </c>
      <c r="B138" s="33" t="s">
        <v>86</v>
      </c>
      <c r="C138" s="34"/>
      <c r="D138" s="31">
        <v>89</v>
      </c>
      <c r="E138" s="35"/>
      <c r="F138" s="35"/>
      <c r="G138" s="34"/>
      <c r="H138" s="34"/>
      <c r="I138" s="34"/>
      <c r="J138" s="34"/>
      <c r="K138" s="34"/>
      <c r="L138" s="33"/>
      <c r="M138" s="38">
        <v>25.75</v>
      </c>
      <c r="N138" s="30">
        <v>89</v>
      </c>
      <c r="O138" s="50">
        <f>(M138*80)+(N138-80)*(M138*1.5)</f>
        <v>2407.625</v>
      </c>
      <c r="P138" s="35">
        <f t="shared" si="11"/>
        <v>842.67</v>
      </c>
      <c r="Q138" s="40">
        <f t="shared" si="16"/>
        <v>4815.25</v>
      </c>
      <c r="R138" s="35"/>
    </row>
    <row r="139" spans="1:18" x14ac:dyDescent="0.3">
      <c r="A139" s="32">
        <v>43337</v>
      </c>
      <c r="B139" s="33" t="s">
        <v>86</v>
      </c>
      <c r="C139" s="34"/>
      <c r="D139" s="31">
        <v>45</v>
      </c>
      <c r="E139" s="35"/>
      <c r="F139" s="35"/>
      <c r="G139" s="34"/>
      <c r="H139" s="34"/>
      <c r="I139" s="34"/>
      <c r="J139" s="34"/>
      <c r="K139" s="34"/>
      <c r="L139" s="33"/>
      <c r="M139" s="38">
        <v>25.75</v>
      </c>
      <c r="N139" s="30">
        <v>45</v>
      </c>
      <c r="O139" s="50">
        <f>(M139*40)+((M139*1.5)*5)</f>
        <v>1223.125</v>
      </c>
      <c r="P139" s="35">
        <f t="shared" si="11"/>
        <v>415.86</v>
      </c>
      <c r="Q139" s="40">
        <f t="shared" si="16"/>
        <v>2446.25</v>
      </c>
      <c r="R139" s="35"/>
    </row>
    <row r="140" spans="1:18" x14ac:dyDescent="0.3">
      <c r="A140" s="32">
        <v>43351</v>
      </c>
      <c r="B140" s="33" t="s">
        <v>86</v>
      </c>
      <c r="C140" s="34"/>
      <c r="D140" s="31">
        <v>83</v>
      </c>
      <c r="E140" s="35"/>
      <c r="F140" s="35"/>
      <c r="G140" s="34"/>
      <c r="H140" s="34"/>
      <c r="I140" s="34"/>
      <c r="J140" s="34"/>
      <c r="K140" s="34"/>
      <c r="L140" s="33"/>
      <c r="M140" s="38">
        <v>25.75</v>
      </c>
      <c r="N140" s="30">
        <v>83</v>
      </c>
      <c r="O140" s="50">
        <f>(M140*80)+(N140-80)*(M140*1.5)</f>
        <v>2175.875</v>
      </c>
      <c r="P140" s="35">
        <f t="shared" ref="P140:P144" si="18">ROUND(((ROUNDDOWN(($W$1-A140)/30,0))/100)*O140,2)</f>
        <v>739.8</v>
      </c>
      <c r="Q140" s="40">
        <f t="shared" si="16"/>
        <v>4351.75</v>
      </c>
      <c r="R140" s="35"/>
    </row>
    <row r="141" spans="1:18" x14ac:dyDescent="0.3">
      <c r="A141" s="32">
        <v>43365</v>
      </c>
      <c r="B141" s="33" t="s">
        <v>86</v>
      </c>
      <c r="C141" s="34"/>
      <c r="D141" s="31">
        <v>112</v>
      </c>
      <c r="E141" s="35"/>
      <c r="F141" s="35"/>
      <c r="G141" s="34"/>
      <c r="H141" s="34"/>
      <c r="I141" s="34"/>
      <c r="J141" s="34"/>
      <c r="K141" s="34"/>
      <c r="L141" s="33"/>
      <c r="M141" s="38">
        <v>25.75</v>
      </c>
      <c r="N141" s="30">
        <v>112</v>
      </c>
      <c r="O141" s="50">
        <f>(M141*80)+(N141-80)*(M141*1.5)</f>
        <v>3296</v>
      </c>
      <c r="P141" s="35">
        <f t="shared" si="18"/>
        <v>1087.68</v>
      </c>
      <c r="Q141" s="40">
        <f t="shared" si="16"/>
        <v>6592</v>
      </c>
      <c r="R141" s="35"/>
    </row>
    <row r="142" spans="1:18" x14ac:dyDescent="0.3">
      <c r="A142" s="32">
        <v>43379</v>
      </c>
      <c r="B142" s="33" t="s">
        <v>86</v>
      </c>
      <c r="C142" s="34"/>
      <c r="D142" s="31">
        <v>99.75</v>
      </c>
      <c r="E142" s="35"/>
      <c r="F142" s="35"/>
      <c r="G142" s="34"/>
      <c r="H142" s="34"/>
      <c r="I142" s="34"/>
      <c r="J142" s="34"/>
      <c r="K142" s="34"/>
      <c r="L142" s="33"/>
      <c r="M142" s="38">
        <v>25.75</v>
      </c>
      <c r="N142" s="30">
        <v>99.75</v>
      </c>
      <c r="O142" s="50">
        <f>(M142*80)+(N142-80)*(M142*1.5)</f>
        <v>2822.84375</v>
      </c>
      <c r="P142" s="35">
        <f t="shared" si="18"/>
        <v>931.54</v>
      </c>
      <c r="Q142" s="40">
        <f t="shared" si="16"/>
        <v>5645.6875</v>
      </c>
      <c r="R142" s="35"/>
    </row>
    <row r="143" spans="1:18" x14ac:dyDescent="0.3">
      <c r="A143" s="32">
        <v>43393</v>
      </c>
      <c r="B143" s="33" t="s">
        <v>86</v>
      </c>
      <c r="C143" s="34"/>
      <c r="D143" s="31">
        <v>117</v>
      </c>
      <c r="E143" s="35"/>
      <c r="F143" s="35"/>
      <c r="G143" s="34"/>
      <c r="H143" s="34"/>
      <c r="I143" s="34"/>
      <c r="J143" s="34"/>
      <c r="K143" s="34"/>
      <c r="L143" s="33"/>
      <c r="M143" s="38">
        <v>25.75</v>
      </c>
      <c r="N143" s="30">
        <v>117</v>
      </c>
      <c r="O143" s="50">
        <f>(M143*80)+(N143-80)*(M143*1.5)</f>
        <v>3489.125</v>
      </c>
      <c r="P143" s="35">
        <f t="shared" si="18"/>
        <v>1116.52</v>
      </c>
      <c r="Q143" s="40">
        <f t="shared" si="16"/>
        <v>6978.25</v>
      </c>
      <c r="R143" s="35"/>
    </row>
    <row r="144" spans="1:18" x14ac:dyDescent="0.3">
      <c r="A144" s="32">
        <v>43407</v>
      </c>
      <c r="B144" s="33" t="s">
        <v>86</v>
      </c>
      <c r="C144" s="34"/>
      <c r="D144" s="31">
        <v>102</v>
      </c>
      <c r="E144" s="35"/>
      <c r="F144" s="35"/>
      <c r="G144" s="34"/>
      <c r="H144" s="34"/>
      <c r="I144" s="34"/>
      <c r="J144" s="34"/>
      <c r="K144" s="34"/>
      <c r="L144" s="33"/>
      <c r="M144" s="38">
        <v>25.75</v>
      </c>
      <c r="N144" s="30">
        <v>102</v>
      </c>
      <c r="O144" s="50">
        <f>(M144*80)+(N144-80)*(M144*1.5)</f>
        <v>2909.75</v>
      </c>
      <c r="P144" s="35">
        <f t="shared" si="18"/>
        <v>931.12</v>
      </c>
      <c r="Q144" s="40">
        <f t="shared" si="16"/>
        <v>5819.5</v>
      </c>
      <c r="R144" s="35"/>
    </row>
    <row r="145" spans="1:18" x14ac:dyDescent="0.3">
      <c r="A145" s="32">
        <v>43427</v>
      </c>
      <c r="B145" s="33" t="s">
        <v>86</v>
      </c>
      <c r="C145" s="34">
        <v>2112</v>
      </c>
      <c r="D145" s="33">
        <v>80</v>
      </c>
      <c r="E145" s="35">
        <v>172.96</v>
      </c>
      <c r="F145" s="35">
        <v>2160</v>
      </c>
      <c r="G145" s="34">
        <v>220.96</v>
      </c>
      <c r="H145" s="34">
        <v>0</v>
      </c>
      <c r="I145" s="34">
        <v>2332.96</v>
      </c>
      <c r="J145" s="34">
        <v>395.24</v>
      </c>
      <c r="K145" s="34">
        <v>2728.2</v>
      </c>
      <c r="L145" s="33" t="s">
        <v>14</v>
      </c>
      <c r="M145" s="34">
        <f t="shared" ref="M145:M193" si="19">(E145+F145)/N145</f>
        <v>24.301666666666666</v>
      </c>
      <c r="N145" s="27">
        <v>96</v>
      </c>
      <c r="O145" s="34">
        <f t="shared" si="13"/>
        <v>194.41333333333333</v>
      </c>
      <c r="P145" s="35">
        <f t="shared" ref="P145:P193" si="20">ROUND(((ROUNDDOWN(($W$1-A145)/30,0))/100)*O145,2)</f>
        <v>60.27</v>
      </c>
      <c r="Q145" s="40">
        <f t="shared" si="16"/>
        <v>388.82666666666665</v>
      </c>
      <c r="R145" s="35"/>
    </row>
    <row r="146" spans="1:18" x14ac:dyDescent="0.3">
      <c r="A146" s="32">
        <v>43441</v>
      </c>
      <c r="B146" s="33" t="s">
        <v>86</v>
      </c>
      <c r="C146" s="34">
        <v>1233</v>
      </c>
      <c r="D146" s="36">
        <v>45</v>
      </c>
      <c r="E146" s="35">
        <v>31.39</v>
      </c>
      <c r="F146" s="35">
        <v>1725</v>
      </c>
      <c r="G146" s="34">
        <v>238.39</v>
      </c>
      <c r="H146" s="34">
        <v>285</v>
      </c>
      <c r="I146" s="34">
        <v>1756.39</v>
      </c>
      <c r="J146" s="34">
        <v>315.16000000000003</v>
      </c>
      <c r="K146" s="34">
        <v>2071.5500000000002</v>
      </c>
      <c r="L146" s="33" t="s">
        <v>14</v>
      </c>
      <c r="M146" s="34">
        <f t="shared" si="19"/>
        <v>25.454927536231885</v>
      </c>
      <c r="N146" s="27">
        <v>69</v>
      </c>
      <c r="O146" s="38">
        <f>(M146*0.5)*5</f>
        <v>63.637318840579709</v>
      </c>
      <c r="P146" s="35">
        <f t="shared" si="20"/>
        <v>19.73</v>
      </c>
      <c r="Q146" s="40">
        <f t="shared" si="16"/>
        <v>127.27463768115942</v>
      </c>
      <c r="R146" s="35"/>
    </row>
    <row r="147" spans="1:18" x14ac:dyDescent="0.3">
      <c r="A147" s="32">
        <v>43451</v>
      </c>
      <c r="B147" s="33" t="s">
        <v>86</v>
      </c>
      <c r="C147" s="34">
        <v>2112</v>
      </c>
      <c r="D147" s="33">
        <v>96</v>
      </c>
      <c r="E147" s="35">
        <v>400.01</v>
      </c>
      <c r="F147" s="35">
        <v>2112</v>
      </c>
      <c r="G147" s="34">
        <v>400.01</v>
      </c>
      <c r="H147" s="34">
        <v>0</v>
      </c>
      <c r="I147" s="34">
        <v>2512.0100000000002</v>
      </c>
      <c r="J147" s="34">
        <v>445.33</v>
      </c>
      <c r="K147" s="34">
        <v>2957.34</v>
      </c>
      <c r="L147" s="33">
        <v>100111</v>
      </c>
      <c r="M147" s="34">
        <f t="shared" si="19"/>
        <v>26.166770833333334</v>
      </c>
      <c r="N147" s="27">
        <v>96</v>
      </c>
      <c r="O147" s="34">
        <f t="shared" si="13"/>
        <v>209.33416666666668</v>
      </c>
      <c r="P147" s="35">
        <f t="shared" si="20"/>
        <v>62.8</v>
      </c>
      <c r="Q147" s="40">
        <f t="shared" si="16"/>
        <v>418.66833333333335</v>
      </c>
      <c r="R147" s="35"/>
    </row>
    <row r="148" spans="1:18" x14ac:dyDescent="0.3">
      <c r="A148" s="32">
        <v>43469</v>
      </c>
      <c r="B148" s="33" t="s">
        <v>86</v>
      </c>
      <c r="C148" s="34">
        <v>330</v>
      </c>
      <c r="D148" s="30">
        <v>15</v>
      </c>
      <c r="E148" s="35">
        <v>36.97</v>
      </c>
      <c r="F148" s="35">
        <v>330</v>
      </c>
      <c r="G148" s="34">
        <v>36.97</v>
      </c>
      <c r="H148" s="34">
        <v>0</v>
      </c>
      <c r="I148" s="34">
        <v>366.97</v>
      </c>
      <c r="J148" s="34">
        <v>67.010000000000005</v>
      </c>
      <c r="K148" s="34">
        <v>433.98</v>
      </c>
      <c r="L148" s="33">
        <v>100124</v>
      </c>
      <c r="M148" s="34">
        <f t="shared" si="19"/>
        <v>24.46466666666667</v>
      </c>
      <c r="N148" s="27">
        <v>15</v>
      </c>
      <c r="O148" s="34">
        <v>0</v>
      </c>
      <c r="P148" s="35">
        <f t="shared" si="20"/>
        <v>0</v>
      </c>
      <c r="Q148" s="40">
        <f t="shared" si="16"/>
        <v>0</v>
      </c>
      <c r="R148" s="35"/>
    </row>
    <row r="149" spans="1:18" x14ac:dyDescent="0.3">
      <c r="A149" s="32">
        <v>43497</v>
      </c>
      <c r="B149" s="33" t="s">
        <v>86</v>
      </c>
      <c r="C149" s="34">
        <v>986</v>
      </c>
      <c r="D149" s="36">
        <v>62</v>
      </c>
      <c r="E149" s="35">
        <v>279.10000000000002</v>
      </c>
      <c r="F149" s="35">
        <v>1364</v>
      </c>
      <c r="G149" s="34">
        <v>217.1</v>
      </c>
      <c r="H149" s="34">
        <v>440</v>
      </c>
      <c r="I149" s="34">
        <v>1643.1</v>
      </c>
      <c r="J149" s="34">
        <v>289.72000000000003</v>
      </c>
      <c r="K149" s="34">
        <v>1932.82</v>
      </c>
      <c r="L149" s="33">
        <v>100144</v>
      </c>
      <c r="M149" s="34">
        <f t="shared" si="19"/>
        <v>26.501612903225805</v>
      </c>
      <c r="N149" s="27">
        <v>62</v>
      </c>
      <c r="O149" s="38">
        <f>(M149*0.5)*22</f>
        <v>291.51774193548385</v>
      </c>
      <c r="P149" s="35">
        <f t="shared" si="20"/>
        <v>84.54</v>
      </c>
      <c r="Q149" s="40">
        <f t="shared" si="16"/>
        <v>583.03548387096771</v>
      </c>
      <c r="R149" s="35"/>
    </row>
    <row r="150" spans="1:18" x14ac:dyDescent="0.3">
      <c r="A150" s="32">
        <v>43511</v>
      </c>
      <c r="B150" s="33" t="s">
        <v>86</v>
      </c>
      <c r="C150" s="34">
        <v>2132</v>
      </c>
      <c r="D150" s="33">
        <v>80</v>
      </c>
      <c r="E150" s="35">
        <v>248.4</v>
      </c>
      <c r="F150" s="35">
        <v>2357</v>
      </c>
      <c r="G150" s="34">
        <v>248.4</v>
      </c>
      <c r="H150" s="34">
        <v>225</v>
      </c>
      <c r="I150" s="34">
        <v>2605.4</v>
      </c>
      <c r="J150" s="34">
        <v>422.64</v>
      </c>
      <c r="K150" s="34">
        <v>3028.04</v>
      </c>
      <c r="L150" s="33" t="s">
        <v>14</v>
      </c>
      <c r="M150" s="34">
        <f t="shared" si="19"/>
        <v>25.418536585365853</v>
      </c>
      <c r="N150" s="27">
        <v>102.5</v>
      </c>
      <c r="O150" s="34">
        <f t="shared" si="13"/>
        <v>285.95853658536583</v>
      </c>
      <c r="P150" s="35">
        <f t="shared" si="20"/>
        <v>80.069999999999993</v>
      </c>
      <c r="Q150" s="40">
        <f t="shared" si="16"/>
        <v>571.91707317073167</v>
      </c>
      <c r="R150" s="35"/>
    </row>
    <row r="151" spans="1:18" x14ac:dyDescent="0.3">
      <c r="A151" s="32">
        <v>43523</v>
      </c>
      <c r="B151" s="33" t="s">
        <v>86</v>
      </c>
      <c r="C151" s="34">
        <v>2219</v>
      </c>
      <c r="D151" s="33">
        <v>0</v>
      </c>
      <c r="E151" s="35">
        <v>367.97</v>
      </c>
      <c r="F151" s="35">
        <v>2219</v>
      </c>
      <c r="G151" s="34">
        <v>367.97</v>
      </c>
      <c r="H151" s="34">
        <v>0</v>
      </c>
      <c r="I151" s="34">
        <v>2586.9699999999998</v>
      </c>
      <c r="J151" s="34">
        <v>259.04000000000002</v>
      </c>
      <c r="K151" s="34">
        <v>2846.01</v>
      </c>
      <c r="L151" s="33" t="s">
        <v>14</v>
      </c>
      <c r="M151" s="34">
        <f t="shared" si="19"/>
        <v>26.807979274611402</v>
      </c>
      <c r="N151" s="27">
        <v>96.5</v>
      </c>
      <c r="O151" s="34">
        <f t="shared" si="13"/>
        <v>221.16582901554406</v>
      </c>
      <c r="P151" s="35">
        <f t="shared" si="20"/>
        <v>61.93</v>
      </c>
      <c r="Q151" s="40">
        <f t="shared" si="16"/>
        <v>442.33165803108812</v>
      </c>
      <c r="R151" s="35"/>
    </row>
    <row r="152" spans="1:18" x14ac:dyDescent="0.3">
      <c r="A152" s="32">
        <v>43539</v>
      </c>
      <c r="B152" s="33" t="s">
        <v>86</v>
      </c>
      <c r="C152" s="34">
        <v>2150</v>
      </c>
      <c r="D152" s="33">
        <v>80</v>
      </c>
      <c r="E152" s="35">
        <v>793.87</v>
      </c>
      <c r="F152" s="35">
        <v>1760</v>
      </c>
      <c r="G152" s="34">
        <v>403.87</v>
      </c>
      <c r="H152" s="34">
        <v>0</v>
      </c>
      <c r="I152" s="34">
        <v>2553.87</v>
      </c>
      <c r="J152" s="34">
        <v>402.14</v>
      </c>
      <c r="K152" s="34">
        <v>2956.01</v>
      </c>
      <c r="L152" s="33" t="s">
        <v>14</v>
      </c>
      <c r="M152" s="34">
        <f t="shared" si="19"/>
        <v>27.314117647058822</v>
      </c>
      <c r="N152" s="27">
        <v>93.5</v>
      </c>
      <c r="O152" s="34">
        <f t="shared" si="13"/>
        <v>184.37029411764706</v>
      </c>
      <c r="P152" s="35">
        <f t="shared" si="20"/>
        <v>49.78</v>
      </c>
      <c r="Q152" s="40">
        <f t="shared" si="16"/>
        <v>368.74058823529413</v>
      </c>
      <c r="R152" s="35"/>
    </row>
    <row r="153" spans="1:18" x14ac:dyDescent="0.3">
      <c r="A153" s="32">
        <v>43553</v>
      </c>
      <c r="B153" s="33" t="s">
        <v>86</v>
      </c>
      <c r="C153" s="34">
        <v>2093</v>
      </c>
      <c r="D153" s="33">
        <v>80</v>
      </c>
      <c r="E153" s="35">
        <v>722.71</v>
      </c>
      <c r="F153" s="35">
        <v>1760</v>
      </c>
      <c r="G153" s="34">
        <v>389.71</v>
      </c>
      <c r="H153" s="34">
        <v>0</v>
      </c>
      <c r="I153" s="34">
        <v>2482.71</v>
      </c>
      <c r="J153" s="34">
        <v>395.41</v>
      </c>
      <c r="K153" s="34">
        <v>2878.12</v>
      </c>
      <c r="L153" s="33" t="s">
        <v>14</v>
      </c>
      <c r="M153" s="34">
        <f t="shared" si="19"/>
        <v>27.282527472527473</v>
      </c>
      <c r="N153" s="27">
        <v>91</v>
      </c>
      <c r="O153" s="34">
        <f t="shared" si="13"/>
        <v>150.05390109890109</v>
      </c>
      <c r="P153" s="35">
        <f t="shared" si="20"/>
        <v>40.51</v>
      </c>
      <c r="Q153" s="40">
        <f t="shared" si="16"/>
        <v>300.10780219780219</v>
      </c>
      <c r="R153" s="35"/>
    </row>
    <row r="154" spans="1:18" x14ac:dyDescent="0.3">
      <c r="A154" s="32">
        <v>43567</v>
      </c>
      <c r="B154" s="33" t="s">
        <v>86</v>
      </c>
      <c r="C154" s="34">
        <v>2093</v>
      </c>
      <c r="D154" s="33">
        <v>80</v>
      </c>
      <c r="E154" s="35">
        <v>722.71</v>
      </c>
      <c r="F154" s="35">
        <v>1760</v>
      </c>
      <c r="G154" s="34">
        <v>389.71</v>
      </c>
      <c r="H154" s="34">
        <v>0</v>
      </c>
      <c r="I154" s="34">
        <v>2482.71</v>
      </c>
      <c r="J154" s="34">
        <v>395.41</v>
      </c>
      <c r="K154" s="34">
        <v>2878.12</v>
      </c>
      <c r="L154" s="33" t="s">
        <v>14</v>
      </c>
      <c r="M154" s="34">
        <f t="shared" si="19"/>
        <v>28.212613636363638</v>
      </c>
      <c r="N154" s="27">
        <v>88</v>
      </c>
      <c r="O154" s="34">
        <f t="shared" si="13"/>
        <v>112.85045454545455</v>
      </c>
      <c r="P154" s="35">
        <f t="shared" si="20"/>
        <v>30.47</v>
      </c>
      <c r="Q154" s="40">
        <f t="shared" si="16"/>
        <v>225.70090909090911</v>
      </c>
      <c r="R154" s="35"/>
    </row>
    <row r="155" spans="1:18" x14ac:dyDescent="0.3">
      <c r="A155" s="32">
        <v>43581</v>
      </c>
      <c r="B155" s="33" t="s">
        <v>86</v>
      </c>
      <c r="C155" s="34">
        <v>2024</v>
      </c>
      <c r="D155" s="33">
        <v>80</v>
      </c>
      <c r="E155" s="35">
        <v>636.53</v>
      </c>
      <c r="F155" s="35">
        <v>1760</v>
      </c>
      <c r="G155" s="34">
        <v>372.53</v>
      </c>
      <c r="H155" s="34">
        <v>0</v>
      </c>
      <c r="I155" s="34">
        <v>2396.5300000000002</v>
      </c>
      <c r="J155" s="34">
        <v>383.16</v>
      </c>
      <c r="K155" s="34">
        <v>2779.69</v>
      </c>
      <c r="L155" s="33" t="s">
        <v>14</v>
      </c>
      <c r="M155" s="34">
        <f t="shared" si="19"/>
        <v>27.233295454545452</v>
      </c>
      <c r="N155" s="27">
        <v>88</v>
      </c>
      <c r="O155" s="34">
        <f t="shared" si="13"/>
        <v>108.93318181818181</v>
      </c>
      <c r="P155" s="35">
        <f t="shared" si="20"/>
        <v>28.32</v>
      </c>
      <c r="Q155" s="40">
        <f t="shared" si="16"/>
        <v>217.86636363636362</v>
      </c>
      <c r="R155" s="35"/>
    </row>
    <row r="156" spans="1:18" x14ac:dyDescent="0.3">
      <c r="A156" s="32">
        <v>43595</v>
      </c>
      <c r="B156" s="33" t="s">
        <v>86</v>
      </c>
      <c r="C156" s="34">
        <v>2024</v>
      </c>
      <c r="D156" s="33">
        <v>80</v>
      </c>
      <c r="E156" s="35">
        <v>636.54999999999995</v>
      </c>
      <c r="F156" s="35">
        <v>1760</v>
      </c>
      <c r="G156" s="34">
        <v>372.55</v>
      </c>
      <c r="H156" s="34">
        <v>0</v>
      </c>
      <c r="I156" s="34">
        <v>2396.5500000000002</v>
      </c>
      <c r="J156" s="34">
        <v>383.19</v>
      </c>
      <c r="K156" s="34">
        <v>2779.74</v>
      </c>
      <c r="L156" s="33">
        <v>100175</v>
      </c>
      <c r="M156" s="34">
        <f t="shared" si="19"/>
        <v>27.233522727272728</v>
      </c>
      <c r="N156" s="27">
        <v>88</v>
      </c>
      <c r="O156" s="34">
        <f t="shared" si="13"/>
        <v>108.93409090909091</v>
      </c>
      <c r="P156" s="35">
        <f t="shared" si="20"/>
        <v>28.32</v>
      </c>
      <c r="Q156" s="40">
        <f t="shared" si="16"/>
        <v>217.86818181818182</v>
      </c>
      <c r="R156" s="35"/>
    </row>
    <row r="157" spans="1:18" x14ac:dyDescent="0.3">
      <c r="A157" s="32">
        <v>43609</v>
      </c>
      <c r="B157" s="33" t="s">
        <v>86</v>
      </c>
      <c r="C157" s="34">
        <v>828</v>
      </c>
      <c r="D157" s="36">
        <v>52</v>
      </c>
      <c r="E157" s="35">
        <v>127.82</v>
      </c>
      <c r="F157" s="35">
        <v>792</v>
      </c>
      <c r="G157" s="34">
        <v>91.82</v>
      </c>
      <c r="H157" s="34">
        <v>0</v>
      </c>
      <c r="I157" s="34">
        <v>919.82</v>
      </c>
      <c r="J157" s="34">
        <v>157.69</v>
      </c>
      <c r="K157" s="34">
        <v>1077.51</v>
      </c>
      <c r="L157" s="33" t="s">
        <v>14</v>
      </c>
      <c r="M157" s="34">
        <f t="shared" si="19"/>
        <v>17.688846153846153</v>
      </c>
      <c r="N157" s="27">
        <v>52</v>
      </c>
      <c r="O157" s="38">
        <f>(M157*0.5)*12</f>
        <v>106.13307692307691</v>
      </c>
      <c r="P157" s="35">
        <f t="shared" si="20"/>
        <v>26.53</v>
      </c>
      <c r="Q157" s="40">
        <f t="shared" si="16"/>
        <v>212.26615384615383</v>
      </c>
      <c r="R157" s="35"/>
    </row>
    <row r="158" spans="1:18" x14ac:dyDescent="0.3">
      <c r="A158" s="32">
        <v>43623</v>
      </c>
      <c r="B158" s="33" t="s">
        <v>86</v>
      </c>
      <c r="C158" s="34">
        <v>2058</v>
      </c>
      <c r="D158" s="33">
        <v>80</v>
      </c>
      <c r="E158" s="35">
        <v>679.01</v>
      </c>
      <c r="F158" s="35">
        <v>1760</v>
      </c>
      <c r="G158" s="34">
        <v>381.01</v>
      </c>
      <c r="H158" s="34">
        <v>0</v>
      </c>
      <c r="I158" s="34">
        <v>2439.0100000000002</v>
      </c>
      <c r="J158" s="34">
        <v>387.13</v>
      </c>
      <c r="K158" s="34">
        <v>2826.14</v>
      </c>
      <c r="L158" s="33" t="s">
        <v>14</v>
      </c>
      <c r="M158" s="34">
        <f t="shared" si="19"/>
        <v>27.251508379888271</v>
      </c>
      <c r="N158" s="27">
        <v>89.5</v>
      </c>
      <c r="O158" s="34">
        <f t="shared" si="13"/>
        <v>129.44466480446928</v>
      </c>
      <c r="P158" s="35">
        <f t="shared" si="20"/>
        <v>32.36</v>
      </c>
      <c r="Q158" s="40">
        <f t="shared" si="16"/>
        <v>258.88932960893857</v>
      </c>
      <c r="R158" s="35"/>
    </row>
    <row r="159" spans="1:18" x14ac:dyDescent="0.3">
      <c r="A159" s="32">
        <v>43637</v>
      </c>
      <c r="B159" s="33" t="s">
        <v>86</v>
      </c>
      <c r="C159" s="34">
        <v>2587</v>
      </c>
      <c r="D159" s="33">
        <v>80</v>
      </c>
      <c r="E159" s="35">
        <v>1242.6500000000001</v>
      </c>
      <c r="F159" s="35">
        <v>1760</v>
      </c>
      <c r="G159" s="34">
        <v>415.65</v>
      </c>
      <c r="H159" s="34">
        <v>0</v>
      </c>
      <c r="I159" s="34">
        <v>3002.65</v>
      </c>
      <c r="J159" s="34">
        <v>439.48</v>
      </c>
      <c r="K159" s="34">
        <v>3442.13</v>
      </c>
      <c r="L159" s="33" t="s">
        <v>14</v>
      </c>
      <c r="M159" s="34">
        <f t="shared" si="19"/>
        <v>26.690222222222221</v>
      </c>
      <c r="N159" s="27">
        <v>112.5</v>
      </c>
      <c r="O159" s="34">
        <f t="shared" si="13"/>
        <v>433.7161111111111</v>
      </c>
      <c r="P159" s="35">
        <f t="shared" si="20"/>
        <v>104.09</v>
      </c>
      <c r="Q159" s="40">
        <f t="shared" si="16"/>
        <v>867.43222222222221</v>
      </c>
      <c r="R159" s="35"/>
    </row>
    <row r="160" spans="1:18" x14ac:dyDescent="0.3">
      <c r="A160" s="32">
        <v>43651</v>
      </c>
      <c r="B160" s="33" t="s">
        <v>86</v>
      </c>
      <c r="C160" s="34">
        <v>1288</v>
      </c>
      <c r="D160" s="33">
        <v>56</v>
      </c>
      <c r="E160" s="35">
        <v>198.81</v>
      </c>
      <c r="F160" s="35">
        <v>1232</v>
      </c>
      <c r="G160" s="34">
        <v>142.81</v>
      </c>
      <c r="H160" s="34">
        <v>0</v>
      </c>
      <c r="I160" s="34">
        <v>1430.81</v>
      </c>
      <c r="J160" s="34">
        <v>245.3</v>
      </c>
      <c r="K160" s="34">
        <v>1676.11</v>
      </c>
      <c r="L160" s="33" t="s">
        <v>14</v>
      </c>
      <c r="M160" s="34">
        <f t="shared" si="19"/>
        <v>17.885124999999999</v>
      </c>
      <c r="N160" s="27">
        <v>80</v>
      </c>
      <c r="O160" s="34">
        <f t="shared" si="13"/>
        <v>0</v>
      </c>
      <c r="P160" s="35">
        <f t="shared" si="20"/>
        <v>0</v>
      </c>
      <c r="Q160" s="40">
        <f t="shared" si="16"/>
        <v>0</v>
      </c>
      <c r="R160" s="35"/>
    </row>
    <row r="161" spans="1:18" x14ac:dyDescent="0.3">
      <c r="A161" s="32">
        <v>43665</v>
      </c>
      <c r="B161" s="33" t="s">
        <v>86</v>
      </c>
      <c r="C161" s="34">
        <v>943</v>
      </c>
      <c r="D161" s="36">
        <v>41</v>
      </c>
      <c r="E161" s="35">
        <v>104.57</v>
      </c>
      <c r="F161" s="35">
        <v>943</v>
      </c>
      <c r="G161" s="34">
        <v>104.57</v>
      </c>
      <c r="H161" s="34">
        <v>0</v>
      </c>
      <c r="I161" s="34">
        <v>1047.57</v>
      </c>
      <c r="J161" s="34">
        <v>179.59</v>
      </c>
      <c r="K161" s="34">
        <v>1227.1600000000001</v>
      </c>
      <c r="L161" s="33" t="s">
        <v>14</v>
      </c>
      <c r="M161" s="34">
        <f t="shared" si="19"/>
        <v>25.550487804878045</v>
      </c>
      <c r="N161" s="27">
        <v>41</v>
      </c>
      <c r="O161" s="38">
        <f>(M161*0.5)*1</f>
        <v>12.775243902439023</v>
      </c>
      <c r="P161" s="35">
        <f t="shared" si="20"/>
        <v>2.94</v>
      </c>
      <c r="Q161" s="40">
        <f t="shared" si="16"/>
        <v>25.550487804878045</v>
      </c>
      <c r="R161" s="35"/>
    </row>
    <row r="162" spans="1:18" x14ac:dyDescent="0.3">
      <c r="A162" s="32">
        <v>43679</v>
      </c>
      <c r="B162" s="33" t="s">
        <v>86</v>
      </c>
      <c r="C162" s="34">
        <v>2196</v>
      </c>
      <c r="D162" s="33">
        <v>80</v>
      </c>
      <c r="E162" s="35">
        <v>318.43</v>
      </c>
      <c r="F162" s="35">
        <v>2196</v>
      </c>
      <c r="G162" s="34">
        <v>318.47000000000003</v>
      </c>
      <c r="H162" s="34">
        <v>-0.04</v>
      </c>
      <c r="I162" s="34">
        <v>2514.4299999999998</v>
      </c>
      <c r="J162" s="34">
        <v>394.12</v>
      </c>
      <c r="K162" s="34">
        <v>2908.55</v>
      </c>
      <c r="L162" s="33" t="s">
        <v>14</v>
      </c>
      <c r="M162" s="34">
        <f t="shared" si="19"/>
        <v>26.329109947643978</v>
      </c>
      <c r="N162" s="27">
        <v>95.5</v>
      </c>
      <c r="O162" s="34">
        <f t="shared" si="13"/>
        <v>204.05060209424084</v>
      </c>
      <c r="P162" s="35">
        <f t="shared" si="20"/>
        <v>46.93</v>
      </c>
      <c r="Q162" s="40">
        <f t="shared" si="16"/>
        <v>408.10120418848169</v>
      </c>
      <c r="R162" s="35"/>
    </row>
    <row r="163" spans="1:18" x14ac:dyDescent="0.3">
      <c r="A163" s="32">
        <v>43693</v>
      </c>
      <c r="B163" s="33" t="s">
        <v>86</v>
      </c>
      <c r="C163" s="34">
        <v>2449</v>
      </c>
      <c r="D163" s="33">
        <v>80</v>
      </c>
      <c r="E163" s="35">
        <v>381.36</v>
      </c>
      <c r="F163" s="35">
        <v>2449</v>
      </c>
      <c r="G163" s="34">
        <v>381.36</v>
      </c>
      <c r="H163" s="34">
        <v>0</v>
      </c>
      <c r="I163" s="34">
        <v>2830.36</v>
      </c>
      <c r="J163" s="34">
        <v>423.5</v>
      </c>
      <c r="K163" s="34">
        <v>3253.86</v>
      </c>
      <c r="L163" s="33" t="s">
        <v>14</v>
      </c>
      <c r="M163" s="34">
        <f t="shared" si="19"/>
        <v>26.576150234741785</v>
      </c>
      <c r="N163" s="27">
        <v>106.5</v>
      </c>
      <c r="O163" s="34">
        <f t="shared" si="13"/>
        <v>352.13399061032868</v>
      </c>
      <c r="P163" s="35">
        <f t="shared" si="20"/>
        <v>77.47</v>
      </c>
      <c r="Q163" s="40">
        <f t="shared" si="16"/>
        <v>704.26798122065736</v>
      </c>
      <c r="R163" s="35"/>
    </row>
    <row r="164" spans="1:18" x14ac:dyDescent="0.3">
      <c r="A164" s="32">
        <v>43707</v>
      </c>
      <c r="B164" s="33" t="s">
        <v>86</v>
      </c>
      <c r="C164" s="34">
        <v>2342</v>
      </c>
      <c r="D164" s="33">
        <v>80</v>
      </c>
      <c r="E164" s="35">
        <v>367.19</v>
      </c>
      <c r="F164" s="35">
        <v>2392</v>
      </c>
      <c r="G164" s="34">
        <v>367.19</v>
      </c>
      <c r="H164" s="34">
        <v>50</v>
      </c>
      <c r="I164" s="34">
        <v>2759.19</v>
      </c>
      <c r="J164" s="34">
        <v>416.86</v>
      </c>
      <c r="K164" s="34">
        <v>3176.05</v>
      </c>
      <c r="L164" s="33" t="s">
        <v>14</v>
      </c>
      <c r="M164" s="34">
        <f t="shared" si="19"/>
        <v>26.530673076923076</v>
      </c>
      <c r="N164" s="27">
        <v>104</v>
      </c>
      <c r="O164" s="34">
        <f t="shared" si="13"/>
        <v>318.3680769230769</v>
      </c>
      <c r="P164" s="35">
        <f t="shared" si="20"/>
        <v>70.040000000000006</v>
      </c>
      <c r="Q164" s="40">
        <f t="shared" si="16"/>
        <v>636.7361538461538</v>
      </c>
      <c r="R164" s="35"/>
    </row>
    <row r="165" spans="1:18" x14ac:dyDescent="0.3">
      <c r="A165" s="32">
        <v>43721</v>
      </c>
      <c r="B165" s="33" t="s">
        <v>86</v>
      </c>
      <c r="C165" s="34">
        <v>2047</v>
      </c>
      <c r="D165" s="33">
        <v>80</v>
      </c>
      <c r="E165" s="35">
        <v>285.45</v>
      </c>
      <c r="F165" s="35">
        <v>2047</v>
      </c>
      <c r="G165" s="34">
        <v>285.45</v>
      </c>
      <c r="H165" s="34">
        <v>0</v>
      </c>
      <c r="I165" s="34">
        <v>2332.4499999999998</v>
      </c>
      <c r="J165" s="34">
        <v>377.23</v>
      </c>
      <c r="K165" s="34">
        <v>2709.68</v>
      </c>
      <c r="L165" s="33" t="s">
        <v>14</v>
      </c>
      <c r="M165" s="34">
        <f t="shared" si="19"/>
        <v>26.207303370786516</v>
      </c>
      <c r="N165" s="27">
        <v>89</v>
      </c>
      <c r="O165" s="34">
        <f t="shared" si="13"/>
        <v>117.93286516853932</v>
      </c>
      <c r="P165" s="35">
        <f t="shared" si="20"/>
        <v>24.77</v>
      </c>
      <c r="Q165" s="40">
        <f t="shared" si="16"/>
        <v>235.86573033707865</v>
      </c>
      <c r="R165" s="35"/>
    </row>
    <row r="166" spans="1:18" x14ac:dyDescent="0.3">
      <c r="A166" s="32">
        <v>43735</v>
      </c>
      <c r="B166" s="33" t="s">
        <v>86</v>
      </c>
      <c r="C166" s="34">
        <v>1541</v>
      </c>
      <c r="D166" s="36">
        <v>67</v>
      </c>
      <c r="E166" s="35">
        <v>178.37</v>
      </c>
      <c r="F166" s="35">
        <v>1541</v>
      </c>
      <c r="G166" s="34">
        <v>178.37</v>
      </c>
      <c r="H166" s="34">
        <v>0</v>
      </c>
      <c r="I166" s="34">
        <v>1719.37</v>
      </c>
      <c r="J166" s="34">
        <v>320.26</v>
      </c>
      <c r="K166" s="34">
        <v>2039.63</v>
      </c>
      <c r="L166" s="33" t="s">
        <v>14</v>
      </c>
      <c r="M166" s="34">
        <f t="shared" si="19"/>
        <v>25.662238805970148</v>
      </c>
      <c r="N166" s="27">
        <v>67</v>
      </c>
      <c r="O166" s="38">
        <f>(M166*0.5)*27</f>
        <v>346.44022388059699</v>
      </c>
      <c r="P166" s="35">
        <f t="shared" si="20"/>
        <v>72.75</v>
      </c>
      <c r="Q166" s="40">
        <f t="shared" si="16"/>
        <v>692.88044776119398</v>
      </c>
      <c r="R166" s="35"/>
    </row>
    <row r="167" spans="1:18" x14ac:dyDescent="0.3">
      <c r="A167" s="32">
        <v>43749</v>
      </c>
      <c r="B167" s="33" t="s">
        <v>86</v>
      </c>
      <c r="C167" s="34">
        <v>2576</v>
      </c>
      <c r="D167" s="33">
        <v>80</v>
      </c>
      <c r="E167" s="35">
        <v>412.91</v>
      </c>
      <c r="F167" s="35">
        <v>2576</v>
      </c>
      <c r="G167" s="34">
        <v>412.91</v>
      </c>
      <c r="H167" s="34">
        <v>0</v>
      </c>
      <c r="I167" s="34">
        <v>2988.91</v>
      </c>
      <c r="J167" s="34">
        <v>438.21</v>
      </c>
      <c r="K167" s="34">
        <v>3427.12</v>
      </c>
      <c r="L167" s="33" t="s">
        <v>14</v>
      </c>
      <c r="M167" s="34">
        <f t="shared" si="19"/>
        <v>26.568088888888887</v>
      </c>
      <c r="N167" s="27">
        <v>112.5</v>
      </c>
      <c r="O167" s="34">
        <f t="shared" si="13"/>
        <v>431.73144444444443</v>
      </c>
      <c r="P167" s="35">
        <f t="shared" si="20"/>
        <v>86.35</v>
      </c>
      <c r="Q167" s="40">
        <f t="shared" si="16"/>
        <v>863.46288888888887</v>
      </c>
      <c r="R167" s="35"/>
    </row>
    <row r="168" spans="1:18" x14ac:dyDescent="0.3">
      <c r="A168" s="32">
        <v>43763</v>
      </c>
      <c r="B168" s="33" t="s">
        <v>86</v>
      </c>
      <c r="C168" s="34">
        <v>1989</v>
      </c>
      <c r="D168" s="33">
        <v>80</v>
      </c>
      <c r="E168" s="35">
        <v>272.81</v>
      </c>
      <c r="F168" s="35">
        <v>1989</v>
      </c>
      <c r="G168" s="34">
        <v>272.81</v>
      </c>
      <c r="H168" s="34">
        <v>0</v>
      </c>
      <c r="I168" s="34">
        <v>2261.81</v>
      </c>
      <c r="J168" s="34">
        <v>370.66</v>
      </c>
      <c r="K168" s="34">
        <v>2632.47</v>
      </c>
      <c r="L168" s="33" t="s">
        <v>14</v>
      </c>
      <c r="M168" s="34">
        <f t="shared" si="19"/>
        <v>26.148092485549132</v>
      </c>
      <c r="N168" s="27">
        <v>86.5</v>
      </c>
      <c r="O168" s="34">
        <f t="shared" ref="O168:O198" si="21">((N168-80)*M168)*0.5</f>
        <v>84.981300578034677</v>
      </c>
      <c r="P168" s="35">
        <f t="shared" si="20"/>
        <v>17</v>
      </c>
      <c r="Q168" s="40">
        <f t="shared" si="16"/>
        <v>169.96260115606935</v>
      </c>
      <c r="R168" s="35"/>
    </row>
    <row r="169" spans="1:18" x14ac:dyDescent="0.3">
      <c r="A169" s="32">
        <v>43777</v>
      </c>
      <c r="B169" s="33" t="s">
        <v>86</v>
      </c>
      <c r="C169" s="34">
        <v>2323</v>
      </c>
      <c r="D169" s="33">
        <v>80</v>
      </c>
      <c r="E169" s="35">
        <v>350.04</v>
      </c>
      <c r="F169" s="35">
        <v>2323</v>
      </c>
      <c r="G169" s="34">
        <v>350.04</v>
      </c>
      <c r="H169" s="34">
        <v>0</v>
      </c>
      <c r="I169" s="34">
        <v>2673.04</v>
      </c>
      <c r="J169" s="34">
        <v>408.86</v>
      </c>
      <c r="K169" s="34">
        <v>3081.9</v>
      </c>
      <c r="L169" s="33" t="s">
        <v>14</v>
      </c>
      <c r="M169" s="34">
        <f t="shared" si="19"/>
        <v>26.335369458128078</v>
      </c>
      <c r="N169" s="27">
        <v>101.5</v>
      </c>
      <c r="O169" s="34">
        <f t="shared" si="21"/>
        <v>283.10522167487682</v>
      </c>
      <c r="P169" s="35">
        <f t="shared" si="20"/>
        <v>56.62</v>
      </c>
      <c r="Q169" s="40">
        <f t="shared" si="16"/>
        <v>566.21044334975363</v>
      </c>
      <c r="R169" s="35"/>
    </row>
    <row r="170" spans="1:18" x14ac:dyDescent="0.3">
      <c r="A170" s="32">
        <v>43791</v>
      </c>
      <c r="B170" s="33" t="s">
        <v>86</v>
      </c>
      <c r="C170" s="34">
        <v>2492</v>
      </c>
      <c r="D170" s="33">
        <v>80</v>
      </c>
      <c r="E170" s="35">
        <v>392.03</v>
      </c>
      <c r="F170" s="35">
        <v>2492</v>
      </c>
      <c r="G170" s="34">
        <v>392.03</v>
      </c>
      <c r="H170" s="34">
        <v>0</v>
      </c>
      <c r="I170" s="34">
        <v>2884.03</v>
      </c>
      <c r="J170" s="34">
        <v>403.56</v>
      </c>
      <c r="K170" s="34">
        <v>3287.59</v>
      </c>
      <c r="L170" s="33" t="s">
        <v>14</v>
      </c>
      <c r="M170" s="34">
        <f t="shared" si="19"/>
        <v>28.696815920398006</v>
      </c>
      <c r="N170" s="27">
        <v>100.5</v>
      </c>
      <c r="O170" s="34">
        <f t="shared" si="21"/>
        <v>294.14236318407956</v>
      </c>
      <c r="P170" s="35">
        <f t="shared" si="20"/>
        <v>55.89</v>
      </c>
      <c r="Q170" s="40">
        <f t="shared" si="16"/>
        <v>588.28472636815911</v>
      </c>
      <c r="R170" s="35"/>
    </row>
    <row r="171" spans="1:18" x14ac:dyDescent="0.3">
      <c r="A171" s="32">
        <v>43805</v>
      </c>
      <c r="B171" s="33" t="s">
        <v>86</v>
      </c>
      <c r="C171" s="34">
        <v>1848</v>
      </c>
      <c r="D171" s="36">
        <v>49.5</v>
      </c>
      <c r="E171" s="35">
        <v>242.07</v>
      </c>
      <c r="F171" s="35">
        <v>1848</v>
      </c>
      <c r="G171" s="34">
        <v>242.07</v>
      </c>
      <c r="H171" s="34">
        <v>0</v>
      </c>
      <c r="I171" s="34">
        <v>2090.0700000000002</v>
      </c>
      <c r="J171" s="34">
        <v>320.44</v>
      </c>
      <c r="K171" s="34">
        <v>2410.5100000000002</v>
      </c>
      <c r="L171" s="33" t="s">
        <v>14</v>
      </c>
      <c r="M171" s="34">
        <f t="shared" si="19"/>
        <v>27.143766233766236</v>
      </c>
      <c r="N171" s="27">
        <v>77</v>
      </c>
      <c r="O171" s="38">
        <f>(M171*0.5)*9.5</f>
        <v>128.93288961038962</v>
      </c>
      <c r="P171" s="35">
        <f t="shared" si="20"/>
        <v>24.5</v>
      </c>
      <c r="Q171" s="40">
        <f t="shared" si="16"/>
        <v>257.86577922077925</v>
      </c>
      <c r="R171" s="35"/>
    </row>
    <row r="172" spans="1:18" x14ac:dyDescent="0.3">
      <c r="A172" s="32">
        <v>43816</v>
      </c>
      <c r="B172" s="33" t="s">
        <v>86</v>
      </c>
      <c r="C172" s="34">
        <v>2364</v>
      </c>
      <c r="D172" s="33">
        <v>80</v>
      </c>
      <c r="E172" s="35">
        <v>360.22</v>
      </c>
      <c r="F172" s="35">
        <v>2364</v>
      </c>
      <c r="G172" s="34">
        <v>360.22</v>
      </c>
      <c r="H172" s="34">
        <v>0</v>
      </c>
      <c r="I172" s="34">
        <v>2724.22</v>
      </c>
      <c r="J172" s="34">
        <v>368.94</v>
      </c>
      <c r="K172" s="34">
        <v>3093.16</v>
      </c>
      <c r="L172" s="33">
        <v>100192</v>
      </c>
      <c r="M172" s="34">
        <f t="shared" si="19"/>
        <v>27.657055837563455</v>
      </c>
      <c r="N172" s="27">
        <v>98.5</v>
      </c>
      <c r="O172" s="34">
        <f t="shared" si="21"/>
        <v>255.82776649746197</v>
      </c>
      <c r="P172" s="35">
        <f t="shared" si="20"/>
        <v>46.05</v>
      </c>
      <c r="Q172" s="40">
        <f t="shared" si="16"/>
        <v>511.65553299492393</v>
      </c>
      <c r="R172" s="35"/>
    </row>
    <row r="173" spans="1:18" x14ac:dyDescent="0.3">
      <c r="A173" s="32">
        <v>43833</v>
      </c>
      <c r="B173" s="33" t="s">
        <v>86</v>
      </c>
      <c r="C173" s="34">
        <v>864</v>
      </c>
      <c r="D173" s="36">
        <v>36</v>
      </c>
      <c r="E173" s="35">
        <v>94.9</v>
      </c>
      <c r="F173" s="35">
        <v>864</v>
      </c>
      <c r="G173" s="34">
        <v>94.9</v>
      </c>
      <c r="H173" s="34">
        <v>0</v>
      </c>
      <c r="I173" s="34">
        <v>958.9</v>
      </c>
      <c r="J173" s="34">
        <v>167.06</v>
      </c>
      <c r="K173" s="34">
        <v>1125.96</v>
      </c>
      <c r="L173" s="33" t="s">
        <v>14</v>
      </c>
      <c r="M173" s="34">
        <f t="shared" si="19"/>
        <v>26.636111111111109</v>
      </c>
      <c r="N173" s="27">
        <v>36</v>
      </c>
      <c r="O173" s="34">
        <v>0</v>
      </c>
      <c r="P173" s="35">
        <f t="shared" si="20"/>
        <v>0</v>
      </c>
      <c r="Q173" s="40">
        <f t="shared" si="16"/>
        <v>0</v>
      </c>
      <c r="R173" s="35"/>
    </row>
    <row r="174" spans="1:18" x14ac:dyDescent="0.3">
      <c r="A174" s="29">
        <v>43861</v>
      </c>
      <c r="B174" s="33" t="s">
        <v>86</v>
      </c>
      <c r="C174" s="34">
        <v>2412</v>
      </c>
      <c r="D174" s="33">
        <v>80</v>
      </c>
      <c r="E174" s="35"/>
      <c r="F174" s="35">
        <v>2424</v>
      </c>
      <c r="G174" s="34">
        <v>298.38</v>
      </c>
      <c r="H174" s="34">
        <v>12</v>
      </c>
      <c r="I174" s="34">
        <v>2722.38</v>
      </c>
      <c r="J174" s="34">
        <v>400.28</v>
      </c>
      <c r="K174" s="34">
        <v>3122.66</v>
      </c>
      <c r="L174" s="33" t="s">
        <v>14</v>
      </c>
      <c r="M174" s="34">
        <f t="shared" si="19"/>
        <v>24</v>
      </c>
      <c r="N174" s="27">
        <v>101</v>
      </c>
      <c r="O174" s="34">
        <f t="shared" si="21"/>
        <v>252</v>
      </c>
      <c r="P174" s="35">
        <f t="shared" si="20"/>
        <v>42.84</v>
      </c>
      <c r="Q174" s="40">
        <f t="shared" si="16"/>
        <v>504</v>
      </c>
      <c r="R174" s="35"/>
    </row>
    <row r="175" spans="1:18" x14ac:dyDescent="0.3">
      <c r="A175" s="29">
        <v>43875</v>
      </c>
      <c r="B175" s="33" t="s">
        <v>86</v>
      </c>
      <c r="C175" s="34">
        <v>1717</v>
      </c>
      <c r="D175" s="33">
        <v>73</v>
      </c>
      <c r="E175" s="35"/>
      <c r="F175" s="35">
        <v>1752</v>
      </c>
      <c r="G175" s="34">
        <v>169.19</v>
      </c>
      <c r="H175" s="34">
        <v>35</v>
      </c>
      <c r="I175" s="34">
        <v>1921.19</v>
      </c>
      <c r="J175" s="34">
        <v>275.86</v>
      </c>
      <c r="K175" s="34">
        <v>2197.0500000000002</v>
      </c>
      <c r="L175" s="33" t="s">
        <v>14</v>
      </c>
      <c r="M175" s="34">
        <f t="shared" si="19"/>
        <v>24</v>
      </c>
      <c r="N175" s="27">
        <v>73</v>
      </c>
      <c r="O175" s="34">
        <v>0</v>
      </c>
      <c r="P175" s="35">
        <f t="shared" si="20"/>
        <v>0</v>
      </c>
      <c r="Q175" s="40">
        <f t="shared" si="16"/>
        <v>0</v>
      </c>
      <c r="R175" s="35"/>
    </row>
    <row r="176" spans="1:18" x14ac:dyDescent="0.3">
      <c r="A176" s="29">
        <v>43889</v>
      </c>
      <c r="B176" s="33" t="s">
        <v>86</v>
      </c>
      <c r="C176" s="34">
        <v>2616</v>
      </c>
      <c r="D176" s="33">
        <v>80</v>
      </c>
      <c r="E176" s="35"/>
      <c r="F176" s="35">
        <v>2616</v>
      </c>
      <c r="G176" s="34">
        <v>325.45999999999998</v>
      </c>
      <c r="H176" s="34">
        <v>0</v>
      </c>
      <c r="I176" s="34">
        <v>2941.46</v>
      </c>
      <c r="J176" s="34">
        <v>357.63</v>
      </c>
      <c r="K176" s="34">
        <v>3299.09</v>
      </c>
      <c r="L176" s="33" t="s">
        <v>14</v>
      </c>
      <c r="M176" s="34">
        <f t="shared" si="19"/>
        <v>24</v>
      </c>
      <c r="N176" s="27">
        <v>109</v>
      </c>
      <c r="O176" s="34">
        <f t="shared" si="21"/>
        <v>348</v>
      </c>
      <c r="P176" s="35">
        <f t="shared" si="20"/>
        <v>55.68</v>
      </c>
      <c r="Q176" s="40">
        <f t="shared" si="16"/>
        <v>696</v>
      </c>
      <c r="R176" s="35"/>
    </row>
    <row r="177" spans="1:18" x14ac:dyDescent="0.3">
      <c r="A177" s="29">
        <v>43903</v>
      </c>
      <c r="B177" s="33" t="s">
        <v>86</v>
      </c>
      <c r="C177" s="34">
        <v>2436</v>
      </c>
      <c r="D177" s="30">
        <v>45</v>
      </c>
      <c r="E177" s="35"/>
      <c r="F177" s="35">
        <v>2436</v>
      </c>
      <c r="G177" s="34">
        <v>291.7</v>
      </c>
      <c r="H177" s="34">
        <v>0</v>
      </c>
      <c r="I177" s="34">
        <v>2727.7</v>
      </c>
      <c r="J177" s="34">
        <v>338.73</v>
      </c>
      <c r="K177" s="34">
        <v>3066.43</v>
      </c>
      <c r="L177" s="33" t="s">
        <v>14</v>
      </c>
      <c r="M177" s="34">
        <f t="shared" si="19"/>
        <v>24</v>
      </c>
      <c r="N177" s="27">
        <v>101.5</v>
      </c>
      <c r="O177" s="34">
        <f t="shared" si="21"/>
        <v>258</v>
      </c>
      <c r="P177" s="35">
        <f t="shared" si="20"/>
        <v>38.700000000000003</v>
      </c>
      <c r="Q177" s="40">
        <f t="shared" si="16"/>
        <v>516</v>
      </c>
      <c r="R177" s="35"/>
    </row>
    <row r="178" spans="1:18" x14ac:dyDescent="0.3">
      <c r="A178" s="32">
        <v>43917</v>
      </c>
      <c r="B178" s="33" t="s">
        <v>86</v>
      </c>
      <c r="C178" s="34">
        <v>1751.15</v>
      </c>
      <c r="D178" s="36">
        <v>45</v>
      </c>
      <c r="E178" s="35"/>
      <c r="F178" s="35">
        <v>1952.5</v>
      </c>
      <c r="G178" s="34">
        <v>201.35</v>
      </c>
      <c r="H178" s="34">
        <v>0</v>
      </c>
      <c r="I178" s="34">
        <v>1952.5</v>
      </c>
      <c r="J178" s="34">
        <v>281.14999999999998</v>
      </c>
      <c r="K178" s="34">
        <v>2233.65</v>
      </c>
      <c r="L178" s="33" t="s">
        <v>14</v>
      </c>
      <c r="M178" s="34">
        <f t="shared" si="19"/>
        <v>27.5</v>
      </c>
      <c r="N178" s="27">
        <v>71</v>
      </c>
      <c r="O178" s="38">
        <f>(M178*0.5)*5</f>
        <v>68.75</v>
      </c>
      <c r="P178" s="35">
        <f t="shared" si="20"/>
        <v>10.31</v>
      </c>
      <c r="Q178" s="40">
        <f t="shared" si="16"/>
        <v>137.5</v>
      </c>
      <c r="R178" s="35"/>
    </row>
    <row r="179" spans="1:18" x14ac:dyDescent="0.3">
      <c r="A179" s="32">
        <v>43379</v>
      </c>
      <c r="B179" s="33" t="s">
        <v>87</v>
      </c>
      <c r="C179" s="34"/>
      <c r="D179" s="31">
        <v>99.75</v>
      </c>
      <c r="E179" s="35"/>
      <c r="F179" s="35"/>
      <c r="G179" s="34"/>
      <c r="H179" s="34"/>
      <c r="I179" s="34"/>
      <c r="J179" s="34"/>
      <c r="K179" s="34"/>
      <c r="L179" s="33"/>
      <c r="M179" s="52">
        <v>24.85</v>
      </c>
      <c r="N179" s="27">
        <v>99.75</v>
      </c>
      <c r="O179" s="50">
        <f>(M179*80)+(N179-80)*(M179*1.5)</f>
        <v>2724.1812500000001</v>
      </c>
      <c r="P179" s="35">
        <f t="shared" si="20"/>
        <v>898.98</v>
      </c>
      <c r="Q179" s="40">
        <f t="shared" si="16"/>
        <v>5448.3625000000002</v>
      </c>
      <c r="R179" s="35">
        <v>556.29999999999995</v>
      </c>
    </row>
    <row r="180" spans="1:18" x14ac:dyDescent="0.3">
      <c r="A180" s="32">
        <v>43393</v>
      </c>
      <c r="B180" s="33" t="s">
        <v>87</v>
      </c>
      <c r="C180" s="34"/>
      <c r="D180" s="31">
        <v>116</v>
      </c>
      <c r="E180" s="35"/>
      <c r="F180" s="35"/>
      <c r="G180" s="34"/>
      <c r="H180" s="34"/>
      <c r="I180" s="34"/>
      <c r="J180" s="34"/>
      <c r="K180" s="34"/>
      <c r="L180" s="33"/>
      <c r="M180" s="52">
        <v>24.85</v>
      </c>
      <c r="N180" s="27">
        <v>116</v>
      </c>
      <c r="O180" s="50">
        <f t="shared" ref="O180:O181" si="22">(M180*80)+(N180-80)*(M180*1.5)</f>
        <v>3329.9</v>
      </c>
      <c r="P180" s="35">
        <f t="shared" si="20"/>
        <v>1065.57</v>
      </c>
      <c r="Q180" s="40">
        <f t="shared" si="16"/>
        <v>6659.8</v>
      </c>
      <c r="R180" s="35"/>
    </row>
    <row r="181" spans="1:18" x14ac:dyDescent="0.3">
      <c r="A181" s="32">
        <v>43407</v>
      </c>
      <c r="B181" s="33" t="s">
        <v>144</v>
      </c>
      <c r="C181" s="34"/>
      <c r="D181" s="31">
        <v>103</v>
      </c>
      <c r="E181" s="35"/>
      <c r="F181" s="35"/>
      <c r="G181" s="34"/>
      <c r="H181" s="34"/>
      <c r="I181" s="34"/>
      <c r="J181" s="34"/>
      <c r="K181" s="34"/>
      <c r="L181" s="33"/>
      <c r="M181" s="52">
        <v>24.85</v>
      </c>
      <c r="N181" s="27">
        <v>103</v>
      </c>
      <c r="O181" s="50">
        <f t="shared" si="22"/>
        <v>2845.3250000000003</v>
      </c>
      <c r="P181" s="35">
        <f t="shared" si="20"/>
        <v>910.5</v>
      </c>
      <c r="Q181" s="40">
        <f t="shared" si="16"/>
        <v>5690.6500000000005</v>
      </c>
      <c r="R181" s="35"/>
    </row>
    <row r="182" spans="1:18" x14ac:dyDescent="0.3">
      <c r="A182" s="32">
        <v>43427</v>
      </c>
      <c r="B182" s="33" t="s">
        <v>87</v>
      </c>
      <c r="C182" s="34">
        <v>1768</v>
      </c>
      <c r="D182" s="33">
        <v>80</v>
      </c>
      <c r="E182" s="35">
        <v>200.47</v>
      </c>
      <c r="F182" s="35">
        <v>1760</v>
      </c>
      <c r="G182" s="34">
        <v>192.47</v>
      </c>
      <c r="H182" s="34">
        <v>0</v>
      </c>
      <c r="I182" s="34">
        <v>1960.47</v>
      </c>
      <c r="J182" s="34">
        <v>357.76</v>
      </c>
      <c r="K182" s="34">
        <v>2318.23</v>
      </c>
      <c r="L182" s="33" t="s">
        <v>14</v>
      </c>
      <c r="M182" s="34">
        <f t="shared" si="19"/>
        <v>20.4215625</v>
      </c>
      <c r="N182" s="27">
        <v>96</v>
      </c>
      <c r="O182" s="34">
        <f t="shared" si="21"/>
        <v>163.3725</v>
      </c>
      <c r="P182" s="35">
        <f t="shared" si="20"/>
        <v>50.65</v>
      </c>
      <c r="Q182" s="40">
        <f t="shared" ref="Q182:Q185" si="23">O182*2</f>
        <v>326.745</v>
      </c>
      <c r="R182" s="35"/>
    </row>
    <row r="183" spans="1:18" x14ac:dyDescent="0.3">
      <c r="A183" s="32">
        <v>43441</v>
      </c>
      <c r="B183" s="33" t="s">
        <v>87</v>
      </c>
      <c r="C183" s="34">
        <v>1302</v>
      </c>
      <c r="D183" s="36">
        <v>45</v>
      </c>
      <c r="E183" s="35">
        <v>115.79</v>
      </c>
      <c r="F183" s="35">
        <v>1725</v>
      </c>
      <c r="G183" s="34">
        <v>253.79</v>
      </c>
      <c r="H183" s="34">
        <v>285</v>
      </c>
      <c r="I183" s="34">
        <v>1840.79</v>
      </c>
      <c r="J183" s="34">
        <v>323.64999999999998</v>
      </c>
      <c r="K183" s="34">
        <v>2164.44</v>
      </c>
      <c r="L183" s="33" t="s">
        <v>14</v>
      </c>
      <c r="M183" s="34">
        <f t="shared" si="19"/>
        <v>26.678115942028985</v>
      </c>
      <c r="N183" s="27">
        <v>69</v>
      </c>
      <c r="O183" s="38">
        <f>(M183*0.5)*5</f>
        <v>66.69528985507246</v>
      </c>
      <c r="P183" s="35">
        <f t="shared" si="20"/>
        <v>20.68</v>
      </c>
      <c r="Q183" s="40">
        <f t="shared" si="23"/>
        <v>133.39057971014492</v>
      </c>
      <c r="R183" s="35"/>
    </row>
    <row r="184" spans="1:18" x14ac:dyDescent="0.3">
      <c r="A184" s="32">
        <v>43455</v>
      </c>
      <c r="B184" s="33" t="s">
        <v>87</v>
      </c>
      <c r="C184" s="34">
        <v>1542</v>
      </c>
      <c r="D184" s="36">
        <v>43</v>
      </c>
      <c r="E184" s="35">
        <v>32.61</v>
      </c>
      <c r="F184" s="35">
        <v>1760</v>
      </c>
      <c r="G184" s="34">
        <v>250.61</v>
      </c>
      <c r="H184" s="34">
        <v>0</v>
      </c>
      <c r="I184" s="34">
        <v>1792.61</v>
      </c>
      <c r="J184" s="34">
        <v>340.87</v>
      </c>
      <c r="K184" s="34">
        <v>2133.48</v>
      </c>
      <c r="L184" s="33" t="s">
        <v>14</v>
      </c>
      <c r="M184" s="34">
        <f t="shared" si="19"/>
        <v>26.755373134328355</v>
      </c>
      <c r="N184" s="27">
        <v>67</v>
      </c>
      <c r="O184" s="38">
        <f>(M184*0.5)*3</f>
        <v>40.133059701492535</v>
      </c>
      <c r="P184" s="35">
        <f t="shared" si="20"/>
        <v>12.04</v>
      </c>
      <c r="Q184" s="40">
        <f t="shared" si="23"/>
        <v>80.266119402985069</v>
      </c>
      <c r="R184" s="35"/>
    </row>
    <row r="185" spans="1:18" x14ac:dyDescent="0.3">
      <c r="A185" s="32">
        <v>43469</v>
      </c>
      <c r="B185" s="33" t="s">
        <v>87</v>
      </c>
      <c r="C185" s="34">
        <v>115</v>
      </c>
      <c r="D185" s="30">
        <v>5</v>
      </c>
      <c r="E185" s="35">
        <v>17.75</v>
      </c>
      <c r="F185" s="35">
        <v>110</v>
      </c>
      <c r="G185" s="34">
        <v>12.75</v>
      </c>
      <c r="H185" s="34">
        <v>0</v>
      </c>
      <c r="I185" s="34">
        <v>127.75</v>
      </c>
      <c r="J185" s="34">
        <v>22.89</v>
      </c>
      <c r="K185" s="34">
        <v>150.63999999999999</v>
      </c>
      <c r="L185" s="33" t="s">
        <v>14</v>
      </c>
      <c r="M185" s="34">
        <f t="shared" si="19"/>
        <v>25.55</v>
      </c>
      <c r="N185" s="27">
        <v>5</v>
      </c>
      <c r="O185" s="34">
        <v>0</v>
      </c>
      <c r="P185" s="35">
        <f t="shared" si="20"/>
        <v>0</v>
      </c>
      <c r="Q185" s="40">
        <f t="shared" si="23"/>
        <v>0</v>
      </c>
      <c r="R185" s="35"/>
    </row>
    <row r="186" spans="1:18" hidden="1" x14ac:dyDescent="0.3">
      <c r="A186" s="37" t="s">
        <v>77</v>
      </c>
      <c r="B186" s="33" t="s">
        <v>88</v>
      </c>
      <c r="C186" s="34">
        <v>1593</v>
      </c>
      <c r="D186" s="33">
        <v>80</v>
      </c>
      <c r="E186" s="33">
        <v>224.07</v>
      </c>
      <c r="F186" s="33">
        <v>1593</v>
      </c>
      <c r="G186" s="34">
        <v>224.07</v>
      </c>
      <c r="H186" s="34">
        <v>0</v>
      </c>
      <c r="I186" s="34">
        <v>1817.07</v>
      </c>
      <c r="J186" s="34">
        <v>340.25</v>
      </c>
      <c r="K186" s="34">
        <v>2157.3200000000002</v>
      </c>
      <c r="L186" s="33" t="s">
        <v>14</v>
      </c>
      <c r="M186" s="34" t="e">
        <f t="shared" si="19"/>
        <v>#DIV/0!</v>
      </c>
      <c r="N186" s="27"/>
      <c r="O186" s="34" t="e">
        <f t="shared" si="21"/>
        <v>#DIV/0!</v>
      </c>
      <c r="P186" s="35" t="e">
        <f t="shared" si="20"/>
        <v>#VALUE!</v>
      </c>
      <c r="Q186" s="34" t="e">
        <f t="shared" ref="Q186:Q192" si="24">O186*1.5</f>
        <v>#DIV/0!</v>
      </c>
      <c r="R186" s="35">
        <v>409.55</v>
      </c>
    </row>
    <row r="187" spans="1:18" hidden="1" x14ac:dyDescent="0.3">
      <c r="A187" s="37" t="s">
        <v>77</v>
      </c>
      <c r="B187" s="33" t="s">
        <v>88</v>
      </c>
      <c r="C187" s="34">
        <v>2377</v>
      </c>
      <c r="D187" s="33">
        <v>80</v>
      </c>
      <c r="E187" s="33">
        <v>414.1</v>
      </c>
      <c r="F187" s="36">
        <v>1377</v>
      </c>
      <c r="G187" s="34">
        <v>414.1</v>
      </c>
      <c r="H187" s="34">
        <v>0</v>
      </c>
      <c r="I187" s="34">
        <v>2791.1</v>
      </c>
      <c r="J187" s="34">
        <v>436.59</v>
      </c>
      <c r="K187" s="34">
        <v>3227.69</v>
      </c>
      <c r="L187" s="33" t="s">
        <v>14</v>
      </c>
      <c r="M187" s="34" t="e">
        <f t="shared" si="19"/>
        <v>#DIV/0!</v>
      </c>
      <c r="N187" s="27"/>
      <c r="O187" s="34" t="e">
        <f t="shared" si="21"/>
        <v>#DIV/0!</v>
      </c>
      <c r="P187" s="35" t="e">
        <f t="shared" si="20"/>
        <v>#VALUE!</v>
      </c>
      <c r="Q187" s="34" t="e">
        <f t="shared" si="24"/>
        <v>#DIV/0!</v>
      </c>
      <c r="R187" s="35"/>
    </row>
    <row r="188" spans="1:18" hidden="1" x14ac:dyDescent="0.3">
      <c r="A188" s="37" t="s">
        <v>77</v>
      </c>
      <c r="B188" s="33" t="s">
        <v>88</v>
      </c>
      <c r="C188" s="34">
        <v>1510</v>
      </c>
      <c r="D188" s="33">
        <v>80</v>
      </c>
      <c r="E188" s="33"/>
      <c r="F188" s="33">
        <v>1510</v>
      </c>
      <c r="G188" s="34">
        <v>165.91</v>
      </c>
      <c r="H188" s="34">
        <v>0</v>
      </c>
      <c r="I188" s="34">
        <v>1675.91</v>
      </c>
      <c r="J188" s="34">
        <v>309.88</v>
      </c>
      <c r="K188" s="34">
        <v>1985.79</v>
      </c>
      <c r="L188" s="33" t="s">
        <v>14</v>
      </c>
      <c r="M188" s="34" t="e">
        <f t="shared" si="19"/>
        <v>#DIV/0!</v>
      </c>
      <c r="N188" s="27"/>
      <c r="O188" s="34" t="e">
        <f t="shared" si="21"/>
        <v>#DIV/0!</v>
      </c>
      <c r="P188" s="35" t="e">
        <f t="shared" si="20"/>
        <v>#VALUE!</v>
      </c>
      <c r="Q188" s="34" t="e">
        <f t="shared" si="24"/>
        <v>#DIV/0!</v>
      </c>
      <c r="R188" s="35"/>
    </row>
    <row r="189" spans="1:18" hidden="1" x14ac:dyDescent="0.3">
      <c r="A189" s="37" t="s">
        <v>77</v>
      </c>
      <c r="B189" s="33" t="s">
        <v>88</v>
      </c>
      <c r="C189" s="34">
        <v>2228</v>
      </c>
      <c r="D189" s="33">
        <v>80</v>
      </c>
      <c r="E189" s="33"/>
      <c r="F189" s="36">
        <v>1240</v>
      </c>
      <c r="G189" s="34">
        <v>304.42</v>
      </c>
      <c r="H189" s="34">
        <v>12</v>
      </c>
      <c r="I189" s="34">
        <v>2544.42</v>
      </c>
      <c r="J189" s="34">
        <v>382.08</v>
      </c>
      <c r="K189" s="34">
        <v>2926.5</v>
      </c>
      <c r="L189" s="33" t="s">
        <v>14</v>
      </c>
      <c r="M189" s="34" t="e">
        <f t="shared" si="19"/>
        <v>#DIV/0!</v>
      </c>
      <c r="N189" s="27"/>
      <c r="O189" s="34" t="e">
        <f t="shared" si="21"/>
        <v>#DIV/0!</v>
      </c>
      <c r="P189" s="35" t="e">
        <f t="shared" si="20"/>
        <v>#VALUE!</v>
      </c>
      <c r="Q189" s="34" t="e">
        <f t="shared" si="24"/>
        <v>#DIV/0!</v>
      </c>
      <c r="R189" s="35"/>
    </row>
    <row r="190" spans="1:18" hidden="1" x14ac:dyDescent="0.3">
      <c r="A190" s="37" t="s">
        <v>77</v>
      </c>
      <c r="B190" s="33" t="s">
        <v>88</v>
      </c>
      <c r="C190" s="34">
        <v>1905</v>
      </c>
      <c r="D190" s="33">
        <v>80</v>
      </c>
      <c r="E190" s="33"/>
      <c r="F190" s="33">
        <v>1940</v>
      </c>
      <c r="G190" s="34">
        <v>235.89</v>
      </c>
      <c r="H190" s="34">
        <v>35</v>
      </c>
      <c r="I190" s="34">
        <v>2175.89</v>
      </c>
      <c r="J190" s="34">
        <v>295.39</v>
      </c>
      <c r="K190" s="34">
        <v>2471.2800000000002</v>
      </c>
      <c r="L190" s="33" t="s">
        <v>14</v>
      </c>
      <c r="M190" s="34" t="e">
        <f t="shared" si="19"/>
        <v>#DIV/0!</v>
      </c>
      <c r="N190" s="27"/>
      <c r="O190" s="34" t="e">
        <f t="shared" si="21"/>
        <v>#DIV/0!</v>
      </c>
      <c r="P190" s="35" t="e">
        <f t="shared" si="20"/>
        <v>#VALUE!</v>
      </c>
      <c r="Q190" s="34" t="e">
        <f t="shared" si="24"/>
        <v>#DIV/0!</v>
      </c>
      <c r="R190" s="35"/>
    </row>
    <row r="191" spans="1:18" hidden="1" x14ac:dyDescent="0.3">
      <c r="A191" s="37" t="s">
        <v>77</v>
      </c>
      <c r="B191" s="33" t="s">
        <v>88</v>
      </c>
      <c r="C191" s="34">
        <v>2100</v>
      </c>
      <c r="D191" s="33">
        <v>80</v>
      </c>
      <c r="E191" s="33"/>
      <c r="F191" s="33">
        <v>2100</v>
      </c>
      <c r="G191" s="34">
        <v>267.73</v>
      </c>
      <c r="H191" s="34">
        <v>0</v>
      </c>
      <c r="I191" s="34">
        <v>2367.73</v>
      </c>
      <c r="J191" s="34">
        <v>307.51</v>
      </c>
      <c r="K191" s="34">
        <v>2675.24</v>
      </c>
      <c r="L191" s="33">
        <v>100196</v>
      </c>
      <c r="M191" s="34" t="e">
        <f t="shared" si="19"/>
        <v>#DIV/0!</v>
      </c>
      <c r="N191" s="27"/>
      <c r="O191" s="34" t="e">
        <f t="shared" si="21"/>
        <v>#DIV/0!</v>
      </c>
      <c r="P191" s="35" t="e">
        <f t="shared" si="20"/>
        <v>#VALUE!</v>
      </c>
      <c r="Q191" s="34" t="e">
        <f t="shared" si="24"/>
        <v>#DIV/0!</v>
      </c>
      <c r="R191" s="35"/>
    </row>
    <row r="192" spans="1:18" hidden="1" x14ac:dyDescent="0.3">
      <c r="A192" s="37" t="s">
        <v>77</v>
      </c>
      <c r="B192" s="33" t="s">
        <v>89</v>
      </c>
      <c r="C192" s="34">
        <v>2500</v>
      </c>
      <c r="D192" s="33">
        <v>60</v>
      </c>
      <c r="E192" s="33"/>
      <c r="F192" s="33">
        <v>2500</v>
      </c>
      <c r="G192" s="34">
        <v>512.6</v>
      </c>
      <c r="H192" s="34">
        <v>0</v>
      </c>
      <c r="I192" s="34">
        <v>3012.6</v>
      </c>
      <c r="J192" s="34">
        <v>367.65</v>
      </c>
      <c r="K192" s="34">
        <v>3380.25</v>
      </c>
      <c r="L192" s="33" t="s">
        <v>14</v>
      </c>
      <c r="M192" s="34" t="e">
        <f t="shared" si="19"/>
        <v>#DIV/0!</v>
      </c>
      <c r="N192" s="27"/>
      <c r="O192" s="34" t="e">
        <f t="shared" si="21"/>
        <v>#DIV/0!</v>
      </c>
      <c r="P192" s="35" t="e">
        <f t="shared" si="20"/>
        <v>#VALUE!</v>
      </c>
      <c r="Q192" s="34" t="e">
        <f t="shared" si="24"/>
        <v>#DIV/0!</v>
      </c>
      <c r="R192" s="35">
        <v>409.55</v>
      </c>
    </row>
    <row r="193" spans="1:18" x14ac:dyDescent="0.3">
      <c r="A193" s="29">
        <v>43875</v>
      </c>
      <c r="B193" s="33" t="s">
        <v>89</v>
      </c>
      <c r="C193" s="34">
        <v>1069</v>
      </c>
      <c r="D193" s="36">
        <v>42</v>
      </c>
      <c r="E193" s="35"/>
      <c r="F193" s="35">
        <v>1269</v>
      </c>
      <c r="G193" s="34">
        <v>217.41</v>
      </c>
      <c r="H193" s="34">
        <v>200</v>
      </c>
      <c r="I193" s="34">
        <v>1486.41</v>
      </c>
      <c r="J193" s="34">
        <v>224.57</v>
      </c>
      <c r="K193" s="34">
        <v>1710.98</v>
      </c>
      <c r="L193" s="33" t="s">
        <v>14</v>
      </c>
      <c r="M193" s="34">
        <f t="shared" si="19"/>
        <v>18</v>
      </c>
      <c r="N193" s="27">
        <v>70.5</v>
      </c>
      <c r="O193" s="38">
        <f>(M193*0.5)*2</f>
        <v>18</v>
      </c>
      <c r="P193" s="35">
        <f t="shared" si="20"/>
        <v>2.88</v>
      </c>
      <c r="Q193" s="40">
        <f t="shared" ref="Q193:Q201" si="25">O193*2</f>
        <v>36</v>
      </c>
      <c r="R193" s="35">
        <v>556.29999999999995</v>
      </c>
    </row>
    <row r="194" spans="1:18" x14ac:dyDescent="0.3">
      <c r="A194" s="32">
        <v>43721</v>
      </c>
      <c r="B194" s="33" t="s">
        <v>90</v>
      </c>
      <c r="C194" s="34">
        <v>1161</v>
      </c>
      <c r="D194" s="36">
        <v>44.5</v>
      </c>
      <c r="E194" s="35">
        <v>134.22999999999999</v>
      </c>
      <c r="F194" s="35">
        <v>1161</v>
      </c>
      <c r="G194" s="34">
        <v>134.22999999999999</v>
      </c>
      <c r="H194" s="34">
        <v>0</v>
      </c>
      <c r="I194" s="34">
        <v>1295.23</v>
      </c>
      <c r="J194" s="34">
        <v>248.49</v>
      </c>
      <c r="K194" s="34">
        <v>1543.72</v>
      </c>
      <c r="L194" s="33" t="s">
        <v>14</v>
      </c>
      <c r="M194" s="34">
        <f t="shared" ref="M194:M246" si="26">(E194+F194)/N194</f>
        <v>17.385637583892617</v>
      </c>
      <c r="N194" s="27">
        <v>74.5</v>
      </c>
      <c r="O194" s="38">
        <f>(M194*0.5)*4.5</f>
        <v>39.117684563758388</v>
      </c>
      <c r="P194" s="35">
        <f t="shared" ref="P194:P228" si="27">ROUND(((ROUNDDOWN(($W$1-A194)/30,0))/100)*O194,2)</f>
        <v>8.2100000000000009</v>
      </c>
      <c r="Q194" s="40">
        <f t="shared" si="25"/>
        <v>78.235369127516776</v>
      </c>
      <c r="R194" s="35">
        <v>556.29999999999995</v>
      </c>
    </row>
    <row r="195" spans="1:18" x14ac:dyDescent="0.3">
      <c r="A195" s="32">
        <v>43735</v>
      </c>
      <c r="B195" s="33" t="s">
        <v>90</v>
      </c>
      <c r="C195" s="34">
        <v>1792</v>
      </c>
      <c r="D195" s="33">
        <v>80</v>
      </c>
      <c r="E195" s="35">
        <v>266.93</v>
      </c>
      <c r="F195" s="35">
        <v>1962</v>
      </c>
      <c r="G195" s="34">
        <v>266.93</v>
      </c>
      <c r="H195" s="34">
        <v>170</v>
      </c>
      <c r="I195" s="34">
        <v>2228.9299999999998</v>
      </c>
      <c r="J195" s="34">
        <v>380.99</v>
      </c>
      <c r="K195" s="34">
        <v>2609.92</v>
      </c>
      <c r="L195" s="33" t="s">
        <v>14</v>
      </c>
      <c r="M195" s="34">
        <f t="shared" si="26"/>
        <v>20.448899082568804</v>
      </c>
      <c r="N195" s="27">
        <v>109</v>
      </c>
      <c r="O195" s="34">
        <f t="shared" si="21"/>
        <v>296.50903669724767</v>
      </c>
      <c r="P195" s="35">
        <f t="shared" si="27"/>
        <v>62.27</v>
      </c>
      <c r="Q195" s="40">
        <f t="shared" si="25"/>
        <v>593.01807339449533</v>
      </c>
      <c r="R195" s="35"/>
    </row>
    <row r="196" spans="1:18" x14ac:dyDescent="0.3">
      <c r="A196" s="32">
        <v>43749</v>
      </c>
      <c r="B196" s="33" t="s">
        <v>90</v>
      </c>
      <c r="C196" s="34">
        <v>1916</v>
      </c>
      <c r="D196" s="33">
        <v>80</v>
      </c>
      <c r="E196" s="35">
        <v>278.69</v>
      </c>
      <c r="F196" s="35">
        <v>2016</v>
      </c>
      <c r="G196" s="34">
        <v>278.69</v>
      </c>
      <c r="H196" s="34">
        <v>100</v>
      </c>
      <c r="I196" s="34">
        <v>2294.69</v>
      </c>
      <c r="J196" s="34">
        <v>387.48</v>
      </c>
      <c r="K196" s="34">
        <v>2682.17</v>
      </c>
      <c r="L196" s="33" t="s">
        <v>14</v>
      </c>
      <c r="M196" s="34">
        <f t="shared" si="26"/>
        <v>20.397244444444446</v>
      </c>
      <c r="N196" s="27">
        <v>112.5</v>
      </c>
      <c r="O196" s="34">
        <f t="shared" si="21"/>
        <v>331.45522222222223</v>
      </c>
      <c r="P196" s="35">
        <f t="shared" si="27"/>
        <v>66.290000000000006</v>
      </c>
      <c r="Q196" s="40">
        <f t="shared" si="25"/>
        <v>662.91044444444447</v>
      </c>
      <c r="R196" s="35"/>
    </row>
    <row r="197" spans="1:18" x14ac:dyDescent="0.3">
      <c r="A197" s="32">
        <v>43763</v>
      </c>
      <c r="B197" s="33" t="s">
        <v>90</v>
      </c>
      <c r="C197" s="34">
        <v>1710</v>
      </c>
      <c r="D197" s="33">
        <v>80</v>
      </c>
      <c r="E197" s="35">
        <v>211.96</v>
      </c>
      <c r="F197" s="35">
        <v>1710</v>
      </c>
      <c r="G197" s="34">
        <v>211.96</v>
      </c>
      <c r="H197" s="34">
        <v>0</v>
      </c>
      <c r="I197" s="34">
        <v>1921.96</v>
      </c>
      <c r="J197" s="34">
        <v>346.18</v>
      </c>
      <c r="K197" s="34">
        <v>2268.14</v>
      </c>
      <c r="L197" s="33" t="s">
        <v>14</v>
      </c>
      <c r="M197" s="34">
        <f t="shared" si="26"/>
        <v>20.231157894736842</v>
      </c>
      <c r="N197" s="27">
        <v>95</v>
      </c>
      <c r="O197" s="34">
        <f t="shared" si="21"/>
        <v>151.73368421052632</v>
      </c>
      <c r="P197" s="35">
        <f t="shared" si="27"/>
        <v>30.35</v>
      </c>
      <c r="Q197" s="40">
        <f t="shared" si="25"/>
        <v>303.46736842105264</v>
      </c>
      <c r="R197" s="35"/>
    </row>
    <row r="198" spans="1:18" x14ac:dyDescent="0.3">
      <c r="A198" s="32">
        <v>43777</v>
      </c>
      <c r="B198" s="33" t="s">
        <v>90</v>
      </c>
      <c r="C198" s="34">
        <v>1890</v>
      </c>
      <c r="D198" s="33">
        <v>80</v>
      </c>
      <c r="E198" s="35">
        <v>251.23</v>
      </c>
      <c r="F198" s="35">
        <v>1890</v>
      </c>
      <c r="G198" s="34">
        <v>251.23</v>
      </c>
      <c r="H198" s="34">
        <v>0</v>
      </c>
      <c r="I198" s="34">
        <v>2141.23</v>
      </c>
      <c r="J198" s="34">
        <v>359.47</v>
      </c>
      <c r="K198" s="34">
        <v>2500.6999999999998</v>
      </c>
      <c r="L198" s="33" t="s">
        <v>14</v>
      </c>
      <c r="M198" s="34">
        <f t="shared" si="26"/>
        <v>20.392666666666667</v>
      </c>
      <c r="N198" s="27">
        <v>105</v>
      </c>
      <c r="O198" s="34">
        <f t="shared" si="21"/>
        <v>254.90833333333333</v>
      </c>
      <c r="P198" s="35">
        <f t="shared" si="27"/>
        <v>50.98</v>
      </c>
      <c r="Q198" s="40">
        <f t="shared" si="25"/>
        <v>509.81666666666666</v>
      </c>
      <c r="R198" s="35"/>
    </row>
    <row r="199" spans="1:18" x14ac:dyDescent="0.3">
      <c r="A199" s="32">
        <v>43791</v>
      </c>
      <c r="B199" s="33" t="s">
        <v>90</v>
      </c>
      <c r="C199" s="34">
        <v>1909</v>
      </c>
      <c r="D199" s="33">
        <v>80</v>
      </c>
      <c r="E199" s="35">
        <v>255.36</v>
      </c>
      <c r="F199" s="35">
        <v>1909</v>
      </c>
      <c r="G199" s="34">
        <v>255.36</v>
      </c>
      <c r="H199" s="34">
        <v>0</v>
      </c>
      <c r="I199" s="34">
        <v>2164.36</v>
      </c>
      <c r="J199" s="34">
        <v>361.6</v>
      </c>
      <c r="K199" s="34">
        <v>2525.96</v>
      </c>
      <c r="L199" s="33" t="s">
        <v>14</v>
      </c>
      <c r="M199" s="34">
        <f t="shared" si="26"/>
        <v>21.535920398009953</v>
      </c>
      <c r="N199" s="27">
        <v>100.5</v>
      </c>
      <c r="O199" s="34">
        <f t="shared" ref="O199:O274" si="28">((N199-80)*M199)*0.5</f>
        <v>220.74318407960203</v>
      </c>
      <c r="P199" s="35">
        <f t="shared" si="27"/>
        <v>41.94</v>
      </c>
      <c r="Q199" s="40">
        <f t="shared" si="25"/>
        <v>441.48636815920406</v>
      </c>
      <c r="R199" s="35"/>
    </row>
    <row r="200" spans="1:18" x14ac:dyDescent="0.3">
      <c r="A200" s="32">
        <v>43805</v>
      </c>
      <c r="B200" s="33" t="s">
        <v>90</v>
      </c>
      <c r="C200" s="34">
        <v>1453</v>
      </c>
      <c r="D200" s="36">
        <v>49.5</v>
      </c>
      <c r="E200" s="35">
        <v>170.82</v>
      </c>
      <c r="F200" s="35">
        <v>1453</v>
      </c>
      <c r="G200" s="34">
        <v>170.82</v>
      </c>
      <c r="H200" s="34">
        <v>0</v>
      </c>
      <c r="I200" s="34">
        <v>1623.82</v>
      </c>
      <c r="J200" s="34">
        <v>311.39</v>
      </c>
      <c r="K200" s="34">
        <v>1935.21</v>
      </c>
      <c r="L200" s="33" t="s">
        <v>14</v>
      </c>
      <c r="M200" s="34">
        <f t="shared" si="26"/>
        <v>21.226405228758168</v>
      </c>
      <c r="N200" s="27">
        <v>76.5</v>
      </c>
      <c r="O200" s="38">
        <f>(M200*0.5)*9.5</f>
        <v>100.8254248366013</v>
      </c>
      <c r="P200" s="35">
        <f t="shared" si="27"/>
        <v>19.16</v>
      </c>
      <c r="Q200" s="40">
        <f t="shared" si="25"/>
        <v>201.6508496732026</v>
      </c>
      <c r="R200" s="35"/>
    </row>
    <row r="201" spans="1:18" x14ac:dyDescent="0.3">
      <c r="A201" s="32">
        <v>43819</v>
      </c>
      <c r="B201" s="33" t="s">
        <v>90</v>
      </c>
      <c r="C201" s="34">
        <v>2707</v>
      </c>
      <c r="D201" s="33">
        <v>80</v>
      </c>
      <c r="E201" s="35">
        <v>445.47</v>
      </c>
      <c r="F201" s="35">
        <v>2707</v>
      </c>
      <c r="G201" s="34">
        <v>445.47</v>
      </c>
      <c r="H201" s="34">
        <v>0</v>
      </c>
      <c r="I201" s="34">
        <v>3152.47</v>
      </c>
      <c r="J201" s="34">
        <v>453.41</v>
      </c>
      <c r="K201" s="34">
        <v>3605.88</v>
      </c>
      <c r="L201" s="33" t="s">
        <v>14</v>
      </c>
      <c r="M201" s="34">
        <f t="shared" si="26"/>
        <v>32.00477157360406</v>
      </c>
      <c r="N201" s="27">
        <v>98.5</v>
      </c>
      <c r="O201" s="34">
        <f t="shared" si="28"/>
        <v>296.04413705583755</v>
      </c>
      <c r="P201" s="35">
        <f t="shared" si="27"/>
        <v>53.29</v>
      </c>
      <c r="Q201" s="40">
        <f t="shared" si="25"/>
        <v>592.0882741116751</v>
      </c>
      <c r="R201" s="35"/>
    </row>
    <row r="202" spans="1:18" hidden="1" x14ac:dyDescent="0.3">
      <c r="A202" s="37" t="s">
        <v>77</v>
      </c>
      <c r="B202" s="30" t="s">
        <v>91</v>
      </c>
      <c r="C202" s="34">
        <v>3625</v>
      </c>
      <c r="D202" s="33">
        <v>80</v>
      </c>
      <c r="E202" s="33">
        <v>547.58000000000004</v>
      </c>
      <c r="F202" s="36">
        <v>2640</v>
      </c>
      <c r="G202" s="34">
        <v>562.58000000000004</v>
      </c>
      <c r="H202" s="34">
        <v>0</v>
      </c>
      <c r="I202" s="34">
        <v>4187.58</v>
      </c>
      <c r="J202" s="34">
        <v>481.22</v>
      </c>
      <c r="K202" s="34">
        <v>4668.8</v>
      </c>
      <c r="L202" s="33">
        <v>100102</v>
      </c>
      <c r="M202" s="34" t="e">
        <f t="shared" si="26"/>
        <v>#DIV/0!</v>
      </c>
      <c r="N202" s="27"/>
      <c r="O202" s="34" t="e">
        <f t="shared" si="28"/>
        <v>#DIV/0!</v>
      </c>
      <c r="P202" s="35" t="e">
        <f t="shared" si="27"/>
        <v>#VALUE!</v>
      </c>
      <c r="Q202" s="34" t="e">
        <f t="shared" ref="Q202:Q267" si="29">O202*1.5</f>
        <v>#DIV/0!</v>
      </c>
      <c r="R202" s="35">
        <v>409.55</v>
      </c>
    </row>
    <row r="203" spans="1:18" hidden="1" x14ac:dyDescent="0.3">
      <c r="A203" s="37" t="s">
        <v>77</v>
      </c>
      <c r="B203" s="30" t="s">
        <v>91</v>
      </c>
      <c r="C203" s="34">
        <v>1060</v>
      </c>
      <c r="D203" s="33">
        <v>60</v>
      </c>
      <c r="E203" s="33">
        <v>154.24</v>
      </c>
      <c r="F203" s="30">
        <v>1620</v>
      </c>
      <c r="G203" s="34">
        <v>274.24</v>
      </c>
      <c r="H203" s="34">
        <v>440</v>
      </c>
      <c r="I203" s="34">
        <v>1774.24</v>
      </c>
      <c r="J203" s="34">
        <v>298.88</v>
      </c>
      <c r="K203" s="34">
        <v>2073.12</v>
      </c>
      <c r="L203" s="33">
        <v>100105</v>
      </c>
      <c r="M203" s="34" t="e">
        <f t="shared" si="26"/>
        <v>#DIV/0!</v>
      </c>
      <c r="N203" s="27"/>
      <c r="O203" s="34" t="e">
        <f t="shared" si="28"/>
        <v>#DIV/0!</v>
      </c>
      <c r="P203" s="35" t="e">
        <f t="shared" si="27"/>
        <v>#VALUE!</v>
      </c>
      <c r="Q203" s="34" t="e">
        <f t="shared" si="29"/>
        <v>#DIV/0!</v>
      </c>
      <c r="R203" s="35"/>
    </row>
    <row r="204" spans="1:18" hidden="1" x14ac:dyDescent="0.3">
      <c r="A204" s="37" t="s">
        <v>77</v>
      </c>
      <c r="B204" s="30" t="s">
        <v>91</v>
      </c>
      <c r="C204" s="34">
        <v>1825</v>
      </c>
      <c r="D204" s="33">
        <v>80</v>
      </c>
      <c r="E204" s="33">
        <v>636.5</v>
      </c>
      <c r="F204" s="33">
        <v>2800</v>
      </c>
      <c r="G204" s="34">
        <v>611.5</v>
      </c>
      <c r="H204" s="34">
        <v>1000</v>
      </c>
      <c r="I204" s="34">
        <v>3436.5</v>
      </c>
      <c r="J204" s="34">
        <v>497.87</v>
      </c>
      <c r="K204" s="34">
        <v>3934.37</v>
      </c>
      <c r="L204" s="33">
        <v>100113</v>
      </c>
      <c r="M204" s="34" t="e">
        <f t="shared" si="26"/>
        <v>#DIV/0!</v>
      </c>
      <c r="N204" s="27"/>
      <c r="O204" s="34" t="e">
        <f t="shared" si="28"/>
        <v>#DIV/0!</v>
      </c>
      <c r="P204" s="35" t="e">
        <f t="shared" si="27"/>
        <v>#VALUE!</v>
      </c>
      <c r="Q204" s="34" t="e">
        <f t="shared" si="29"/>
        <v>#DIV/0!</v>
      </c>
      <c r="R204" s="35"/>
    </row>
    <row r="205" spans="1:18" hidden="1" x14ac:dyDescent="0.3">
      <c r="A205" s="37" t="s">
        <v>77</v>
      </c>
      <c r="B205" s="30" t="s">
        <v>91</v>
      </c>
      <c r="C205" s="34">
        <v>1125</v>
      </c>
      <c r="D205" s="33">
        <v>45</v>
      </c>
      <c r="E205" s="33">
        <v>89.81</v>
      </c>
      <c r="F205" s="33">
        <v>1215</v>
      </c>
      <c r="G205" s="34">
        <v>179.81</v>
      </c>
      <c r="H205" s="34">
        <v>0</v>
      </c>
      <c r="I205" s="34">
        <v>1304.81</v>
      </c>
      <c r="J205" s="34">
        <v>221.57</v>
      </c>
      <c r="K205" s="34">
        <v>1526.38</v>
      </c>
      <c r="L205" s="33">
        <v>100119</v>
      </c>
      <c r="M205" s="34" t="e">
        <f t="shared" si="26"/>
        <v>#DIV/0!</v>
      </c>
      <c r="N205" s="27"/>
      <c r="O205" s="34" t="e">
        <f t="shared" si="28"/>
        <v>#DIV/0!</v>
      </c>
      <c r="P205" s="35" t="e">
        <f t="shared" si="27"/>
        <v>#VALUE!</v>
      </c>
      <c r="Q205" s="34" t="e">
        <f t="shared" si="29"/>
        <v>#DIV/0!</v>
      </c>
      <c r="R205" s="35"/>
    </row>
    <row r="206" spans="1:18" hidden="1" x14ac:dyDescent="0.3">
      <c r="A206" s="37" t="s">
        <v>77</v>
      </c>
      <c r="B206" s="30" t="s">
        <v>91</v>
      </c>
      <c r="C206" s="34">
        <v>425</v>
      </c>
      <c r="D206" s="33">
        <v>80</v>
      </c>
      <c r="E206" s="33">
        <v>168.62</v>
      </c>
      <c r="F206" s="33">
        <v>1424.8</v>
      </c>
      <c r="G206" s="34">
        <v>168.42</v>
      </c>
      <c r="H206" s="34">
        <v>1000</v>
      </c>
      <c r="I206" s="34">
        <v>1593.42</v>
      </c>
      <c r="J206" s="34">
        <v>320.83</v>
      </c>
      <c r="K206" s="34">
        <v>1914.25</v>
      </c>
      <c r="L206" s="33">
        <v>100128</v>
      </c>
      <c r="M206" s="34" t="e">
        <f t="shared" si="26"/>
        <v>#DIV/0!</v>
      </c>
      <c r="N206" s="27"/>
      <c r="O206" s="34" t="e">
        <f t="shared" si="28"/>
        <v>#DIV/0!</v>
      </c>
      <c r="P206" s="35" t="e">
        <f t="shared" si="27"/>
        <v>#VALUE!</v>
      </c>
      <c r="Q206" s="34" t="e">
        <f t="shared" si="29"/>
        <v>#DIV/0!</v>
      </c>
      <c r="R206" s="35"/>
    </row>
    <row r="207" spans="1:18" hidden="1" x14ac:dyDescent="0.3">
      <c r="A207" s="37" t="s">
        <v>77</v>
      </c>
      <c r="B207" s="30" t="s">
        <v>91</v>
      </c>
      <c r="C207" s="34">
        <v>425</v>
      </c>
      <c r="D207" s="33">
        <v>80</v>
      </c>
      <c r="E207" s="33">
        <v>1409.86</v>
      </c>
      <c r="F207" s="33">
        <v>2160</v>
      </c>
      <c r="G207" s="34">
        <v>644.86</v>
      </c>
      <c r="H207" s="34">
        <v>2500</v>
      </c>
      <c r="I207" s="34">
        <v>3569.86</v>
      </c>
      <c r="J207" s="34">
        <v>519.66999999999996</v>
      </c>
      <c r="K207" s="34">
        <v>4089.53</v>
      </c>
      <c r="L207" s="33">
        <v>100137</v>
      </c>
      <c r="M207" s="34" t="e">
        <f t="shared" si="26"/>
        <v>#DIV/0!</v>
      </c>
      <c r="N207" s="27"/>
      <c r="O207" s="34" t="e">
        <f t="shared" si="28"/>
        <v>#DIV/0!</v>
      </c>
      <c r="P207" s="35" t="e">
        <f t="shared" si="27"/>
        <v>#VALUE!</v>
      </c>
      <c r="Q207" s="34" t="e">
        <f t="shared" si="29"/>
        <v>#DIV/0!</v>
      </c>
      <c r="R207" s="35"/>
    </row>
    <row r="208" spans="1:18" hidden="1" x14ac:dyDescent="0.3">
      <c r="A208" s="37" t="s">
        <v>77</v>
      </c>
      <c r="B208" s="30" t="s">
        <v>91</v>
      </c>
      <c r="C208" s="34">
        <v>625</v>
      </c>
      <c r="D208" s="33">
        <v>25</v>
      </c>
      <c r="E208" s="33">
        <v>68.06</v>
      </c>
      <c r="F208" s="33">
        <v>625</v>
      </c>
      <c r="G208" s="34">
        <v>68.06</v>
      </c>
      <c r="H208" s="34">
        <v>0</v>
      </c>
      <c r="I208" s="34">
        <v>693.06</v>
      </c>
      <c r="J208" s="34">
        <v>118.92</v>
      </c>
      <c r="K208" s="34">
        <v>811.98</v>
      </c>
      <c r="L208" s="33" t="s">
        <v>14</v>
      </c>
      <c r="M208" s="34" t="e">
        <f t="shared" si="26"/>
        <v>#DIV/0!</v>
      </c>
      <c r="N208" s="27"/>
      <c r="O208" s="34" t="e">
        <f t="shared" si="28"/>
        <v>#DIV/0!</v>
      </c>
      <c r="P208" s="35" t="e">
        <f t="shared" si="27"/>
        <v>#VALUE!</v>
      </c>
      <c r="Q208" s="34" t="e">
        <f t="shared" si="29"/>
        <v>#DIV/0!</v>
      </c>
      <c r="R208" s="35"/>
    </row>
    <row r="209" spans="1:18" hidden="1" x14ac:dyDescent="0.3">
      <c r="A209" s="37" t="s">
        <v>77</v>
      </c>
      <c r="B209" s="30" t="s">
        <v>91</v>
      </c>
      <c r="C209" s="34">
        <v>2837</v>
      </c>
      <c r="D209" s="33">
        <v>0</v>
      </c>
      <c r="E209" s="33"/>
      <c r="F209" s="30">
        <v>2837</v>
      </c>
      <c r="G209" s="34">
        <v>569.94000000000005</v>
      </c>
      <c r="H209" s="34">
        <v>0</v>
      </c>
      <c r="I209" s="34">
        <v>3406.94</v>
      </c>
      <c r="J209" s="34">
        <v>322.3</v>
      </c>
      <c r="K209" s="34">
        <v>3729.24</v>
      </c>
      <c r="L209" s="33" t="s">
        <v>14</v>
      </c>
      <c r="M209" s="34" t="e">
        <f t="shared" si="26"/>
        <v>#DIV/0!</v>
      </c>
      <c r="N209" s="27"/>
      <c r="O209" s="34" t="e">
        <f t="shared" si="28"/>
        <v>#DIV/0!</v>
      </c>
      <c r="P209" s="35" t="e">
        <f t="shared" si="27"/>
        <v>#VALUE!</v>
      </c>
      <c r="Q209" s="34" t="e">
        <f t="shared" si="29"/>
        <v>#DIV/0!</v>
      </c>
      <c r="R209" s="35"/>
    </row>
    <row r="210" spans="1:18" hidden="1" x14ac:dyDescent="0.3">
      <c r="A210" s="37" t="s">
        <v>77</v>
      </c>
      <c r="B210" s="30" t="s">
        <v>91</v>
      </c>
      <c r="C210" s="34">
        <v>2875</v>
      </c>
      <c r="D210" s="33">
        <v>80</v>
      </c>
      <c r="E210" s="33">
        <v>1347.43</v>
      </c>
      <c r="F210" s="33">
        <v>2160</v>
      </c>
      <c r="G210" s="34">
        <v>632.42999999999995</v>
      </c>
      <c r="H210" s="34">
        <v>0</v>
      </c>
      <c r="I210" s="34">
        <v>3507.43</v>
      </c>
      <c r="J210" s="34">
        <v>492.34</v>
      </c>
      <c r="K210" s="34">
        <v>3999.77</v>
      </c>
      <c r="L210" s="33" t="s">
        <v>14</v>
      </c>
      <c r="M210" s="34" t="e">
        <f t="shared" si="26"/>
        <v>#DIV/0!</v>
      </c>
      <c r="N210" s="27"/>
      <c r="O210" s="34" t="e">
        <f t="shared" si="28"/>
        <v>#DIV/0!</v>
      </c>
      <c r="P210" s="35" t="e">
        <f t="shared" si="27"/>
        <v>#VALUE!</v>
      </c>
      <c r="Q210" s="34" t="e">
        <f t="shared" si="29"/>
        <v>#DIV/0!</v>
      </c>
      <c r="R210" s="35"/>
    </row>
    <row r="211" spans="1:18" hidden="1" x14ac:dyDescent="0.3">
      <c r="A211" s="37" t="s">
        <v>77</v>
      </c>
      <c r="B211" s="30" t="s">
        <v>91</v>
      </c>
      <c r="C211" s="34">
        <v>2750</v>
      </c>
      <c r="D211" s="33">
        <v>80</v>
      </c>
      <c r="E211" s="33">
        <v>1191.3699999999999</v>
      </c>
      <c r="F211" s="33">
        <v>2160</v>
      </c>
      <c r="G211" s="34">
        <v>601.37</v>
      </c>
      <c r="H211" s="34">
        <v>0</v>
      </c>
      <c r="I211" s="34">
        <v>3351.37</v>
      </c>
      <c r="J211" s="34">
        <v>477.58</v>
      </c>
      <c r="K211" s="34">
        <v>3828.95</v>
      </c>
      <c r="L211" s="33" t="s">
        <v>14</v>
      </c>
      <c r="M211" s="34" t="e">
        <f t="shared" si="26"/>
        <v>#DIV/0!</v>
      </c>
      <c r="N211" s="27"/>
      <c r="O211" s="34" t="e">
        <f t="shared" si="28"/>
        <v>#DIV/0!</v>
      </c>
      <c r="P211" s="35" t="e">
        <f t="shared" si="27"/>
        <v>#VALUE!</v>
      </c>
      <c r="Q211" s="34" t="e">
        <f t="shared" si="29"/>
        <v>#DIV/0!</v>
      </c>
      <c r="R211" s="35"/>
    </row>
    <row r="212" spans="1:18" hidden="1" x14ac:dyDescent="0.3">
      <c r="A212" s="37" t="s">
        <v>77</v>
      </c>
      <c r="B212" s="30" t="s">
        <v>91</v>
      </c>
      <c r="C212" s="34">
        <v>3050</v>
      </c>
      <c r="D212" s="33">
        <v>80</v>
      </c>
      <c r="E212" s="33">
        <v>1565.92</v>
      </c>
      <c r="F212" s="33">
        <v>2160</v>
      </c>
      <c r="G212" s="34">
        <v>675.92</v>
      </c>
      <c r="H212" s="34">
        <v>0</v>
      </c>
      <c r="I212" s="34">
        <v>3725.92</v>
      </c>
      <c r="J212" s="34">
        <v>513.01</v>
      </c>
      <c r="K212" s="34">
        <v>4238.93</v>
      </c>
      <c r="L212" s="33" t="s">
        <v>14</v>
      </c>
      <c r="M212" s="34" t="e">
        <f t="shared" si="26"/>
        <v>#DIV/0!</v>
      </c>
      <c r="N212" s="27"/>
      <c r="O212" s="34" t="e">
        <f t="shared" si="28"/>
        <v>#DIV/0!</v>
      </c>
      <c r="P212" s="35" t="e">
        <f t="shared" si="27"/>
        <v>#VALUE!</v>
      </c>
      <c r="Q212" s="34" t="e">
        <f t="shared" si="29"/>
        <v>#DIV/0!</v>
      </c>
      <c r="R212" s="35"/>
    </row>
    <row r="213" spans="1:18" hidden="1" x14ac:dyDescent="0.3">
      <c r="A213" s="37" t="s">
        <v>77</v>
      </c>
      <c r="B213" s="30" t="s">
        <v>91</v>
      </c>
      <c r="C213" s="34">
        <v>1325</v>
      </c>
      <c r="D213" s="33">
        <v>53</v>
      </c>
      <c r="E213" s="33">
        <v>123.35</v>
      </c>
      <c r="F213" s="33">
        <v>1431</v>
      </c>
      <c r="G213" s="34">
        <v>229.35</v>
      </c>
      <c r="H213" s="34">
        <v>0</v>
      </c>
      <c r="I213" s="34">
        <v>1554.35</v>
      </c>
      <c r="J213" s="34">
        <v>250.75</v>
      </c>
      <c r="K213" s="34">
        <v>1805.1</v>
      </c>
      <c r="L213" s="33" t="s">
        <v>14</v>
      </c>
      <c r="M213" s="34" t="e">
        <f t="shared" si="26"/>
        <v>#DIV/0!</v>
      </c>
      <c r="N213" s="27"/>
      <c r="O213" s="34" t="e">
        <f t="shared" si="28"/>
        <v>#DIV/0!</v>
      </c>
      <c r="P213" s="35" t="e">
        <f t="shared" si="27"/>
        <v>#VALUE!</v>
      </c>
      <c r="Q213" s="34" t="e">
        <f t="shared" si="29"/>
        <v>#DIV/0!</v>
      </c>
      <c r="R213" s="35"/>
    </row>
    <row r="214" spans="1:18" hidden="1" x14ac:dyDescent="0.3">
      <c r="A214" s="37" t="s">
        <v>77</v>
      </c>
      <c r="B214" s="30" t="s">
        <v>91</v>
      </c>
      <c r="C214" s="34">
        <v>1775</v>
      </c>
      <c r="D214" s="33">
        <v>71</v>
      </c>
      <c r="E214" s="33">
        <v>211.12</v>
      </c>
      <c r="F214" s="33">
        <v>1917</v>
      </c>
      <c r="G214" s="34">
        <v>353.12</v>
      </c>
      <c r="H214" s="34">
        <v>0</v>
      </c>
      <c r="I214" s="34">
        <v>2128.12</v>
      </c>
      <c r="J214" s="34">
        <v>340.2</v>
      </c>
      <c r="K214" s="34">
        <v>2468.3200000000002</v>
      </c>
      <c r="L214" s="33" t="s">
        <v>14</v>
      </c>
      <c r="M214" s="34" t="e">
        <f t="shared" si="26"/>
        <v>#DIV/0!</v>
      </c>
      <c r="N214" s="27"/>
      <c r="O214" s="34" t="e">
        <f t="shared" si="28"/>
        <v>#DIV/0!</v>
      </c>
      <c r="P214" s="35" t="e">
        <f t="shared" si="27"/>
        <v>#VALUE!</v>
      </c>
      <c r="Q214" s="34" t="e">
        <f t="shared" si="29"/>
        <v>#DIV/0!</v>
      </c>
      <c r="R214" s="35"/>
    </row>
    <row r="215" spans="1:18" hidden="1" x14ac:dyDescent="0.3">
      <c r="A215" s="37" t="s">
        <v>77</v>
      </c>
      <c r="B215" s="30" t="s">
        <v>91</v>
      </c>
      <c r="C215" s="34">
        <v>2087</v>
      </c>
      <c r="D215" s="33">
        <v>80</v>
      </c>
      <c r="E215" s="33">
        <v>363.6</v>
      </c>
      <c r="F215" s="33">
        <v>2160</v>
      </c>
      <c r="G215" s="34">
        <v>436.6</v>
      </c>
      <c r="H215" s="34">
        <v>0</v>
      </c>
      <c r="I215" s="34">
        <v>2523.6</v>
      </c>
      <c r="J215" s="34">
        <v>394.97</v>
      </c>
      <c r="K215" s="34">
        <v>2918.57</v>
      </c>
      <c r="L215" s="33" t="s">
        <v>14</v>
      </c>
      <c r="M215" s="34" t="e">
        <f t="shared" si="26"/>
        <v>#DIV/0!</v>
      </c>
      <c r="N215" s="27"/>
      <c r="O215" s="34" t="e">
        <f t="shared" si="28"/>
        <v>#DIV/0!</v>
      </c>
      <c r="P215" s="35" t="e">
        <f t="shared" si="27"/>
        <v>#VALUE!</v>
      </c>
      <c r="Q215" s="34" t="e">
        <f t="shared" si="29"/>
        <v>#DIV/0!</v>
      </c>
      <c r="R215" s="35"/>
    </row>
    <row r="216" spans="1:18" hidden="1" x14ac:dyDescent="0.3">
      <c r="A216" s="37" t="s">
        <v>77</v>
      </c>
      <c r="B216" s="30" t="s">
        <v>91</v>
      </c>
      <c r="C216" s="34">
        <v>1550</v>
      </c>
      <c r="D216" s="33">
        <v>62</v>
      </c>
      <c r="E216" s="33">
        <v>167.25</v>
      </c>
      <c r="F216" s="33">
        <v>1674</v>
      </c>
      <c r="G216" s="34">
        <v>291.25</v>
      </c>
      <c r="H216" s="34">
        <v>0</v>
      </c>
      <c r="I216" s="34">
        <v>1841.25</v>
      </c>
      <c r="J216" s="34">
        <v>295.48</v>
      </c>
      <c r="K216" s="34">
        <v>2136.73</v>
      </c>
      <c r="L216" s="33" t="s">
        <v>14</v>
      </c>
      <c r="M216" s="34" t="e">
        <f t="shared" si="26"/>
        <v>#DIV/0!</v>
      </c>
      <c r="N216" s="27"/>
      <c r="O216" s="34" t="e">
        <f t="shared" si="28"/>
        <v>#DIV/0!</v>
      </c>
      <c r="P216" s="35" t="e">
        <f t="shared" si="27"/>
        <v>#VALUE!</v>
      </c>
      <c r="Q216" s="34" t="e">
        <f t="shared" si="29"/>
        <v>#DIV/0!</v>
      </c>
      <c r="R216" s="35"/>
    </row>
    <row r="217" spans="1:18" x14ac:dyDescent="0.3">
      <c r="A217" s="37">
        <v>43771</v>
      </c>
      <c r="B217" s="36" t="s">
        <v>92</v>
      </c>
      <c r="C217" s="34"/>
      <c r="D217" s="31">
        <v>58</v>
      </c>
      <c r="E217" s="35"/>
      <c r="F217" s="35"/>
      <c r="G217" s="34"/>
      <c r="H217" s="34"/>
      <c r="I217" s="34"/>
      <c r="J217" s="34"/>
      <c r="K217" s="34"/>
      <c r="L217" s="33"/>
      <c r="M217" s="38">
        <v>26.26</v>
      </c>
      <c r="N217" s="30">
        <v>58</v>
      </c>
      <c r="O217" s="50">
        <f>(M217*40)+((M217*1.5)*18)</f>
        <v>1759.42</v>
      </c>
      <c r="P217" s="35">
        <f t="shared" si="27"/>
        <v>351.88</v>
      </c>
      <c r="Q217" s="40">
        <f t="shared" ref="Q217:Q231" si="30">O217*2</f>
        <v>3518.84</v>
      </c>
      <c r="R217" s="35">
        <v>556.29999999999995</v>
      </c>
    </row>
    <row r="218" spans="1:18" x14ac:dyDescent="0.3">
      <c r="A218" s="37">
        <v>43617</v>
      </c>
      <c r="B218" s="36" t="s">
        <v>93</v>
      </c>
      <c r="C218" s="34"/>
      <c r="D218" s="31">
        <v>51</v>
      </c>
      <c r="E218" s="35"/>
      <c r="F218" s="35"/>
      <c r="G218" s="34"/>
      <c r="H218" s="34"/>
      <c r="I218" s="34"/>
      <c r="J218" s="34"/>
      <c r="K218" s="34"/>
      <c r="L218" s="33"/>
      <c r="M218" s="38">
        <v>26.26</v>
      </c>
      <c r="N218" s="30">
        <v>51</v>
      </c>
      <c r="O218" s="50">
        <f>N218*M218</f>
        <v>1339.26</v>
      </c>
      <c r="P218" s="35">
        <f t="shared" si="27"/>
        <v>334.82</v>
      </c>
      <c r="Q218" s="40">
        <f t="shared" si="30"/>
        <v>2678.52</v>
      </c>
      <c r="R218" s="35">
        <v>556.29999999999995</v>
      </c>
    </row>
    <row r="219" spans="1:18" x14ac:dyDescent="0.3">
      <c r="A219" s="37">
        <v>43632</v>
      </c>
      <c r="B219" s="36" t="s">
        <v>93</v>
      </c>
      <c r="C219" s="34"/>
      <c r="D219" s="31">
        <v>133.5</v>
      </c>
      <c r="E219" s="35"/>
      <c r="F219" s="35"/>
      <c r="G219" s="34"/>
      <c r="H219" s="34"/>
      <c r="I219" s="34"/>
      <c r="J219" s="34"/>
      <c r="K219" s="34"/>
      <c r="L219" s="33"/>
      <c r="M219" s="38">
        <v>26.26</v>
      </c>
      <c r="N219" s="30">
        <v>133.5</v>
      </c>
      <c r="O219" s="50">
        <f>(M219*80)+(N219-80)*(M219*1.5)</f>
        <v>4208.1650000000009</v>
      </c>
      <c r="P219" s="35">
        <f t="shared" si="27"/>
        <v>1009.96</v>
      </c>
      <c r="Q219" s="40">
        <f t="shared" si="30"/>
        <v>8416.3300000000017</v>
      </c>
      <c r="R219" s="35"/>
    </row>
    <row r="220" spans="1:18" x14ac:dyDescent="0.3">
      <c r="A220" s="37">
        <v>43645</v>
      </c>
      <c r="B220" s="36" t="s">
        <v>93</v>
      </c>
      <c r="C220" s="34"/>
      <c r="D220" s="31">
        <v>74</v>
      </c>
      <c r="E220" s="35"/>
      <c r="F220" s="35"/>
      <c r="G220" s="34"/>
      <c r="H220" s="34"/>
      <c r="I220" s="34"/>
      <c r="J220" s="34"/>
      <c r="K220" s="34"/>
      <c r="L220" s="33"/>
      <c r="M220" s="38">
        <v>26.26</v>
      </c>
      <c r="N220" s="30">
        <v>74</v>
      </c>
      <c r="O220" s="50">
        <f>N220*M220</f>
        <v>1943.24</v>
      </c>
      <c r="P220" s="35">
        <f t="shared" si="27"/>
        <v>466.38</v>
      </c>
      <c r="Q220" s="40">
        <f t="shared" si="30"/>
        <v>3886.48</v>
      </c>
      <c r="R220" s="35"/>
    </row>
    <row r="221" spans="1:18" x14ac:dyDescent="0.3">
      <c r="A221" s="37">
        <v>43659</v>
      </c>
      <c r="B221" s="36" t="s">
        <v>93</v>
      </c>
      <c r="C221" s="34"/>
      <c r="D221" s="31">
        <v>64.5</v>
      </c>
      <c r="E221" s="35"/>
      <c r="F221" s="35"/>
      <c r="G221" s="34"/>
      <c r="H221" s="34"/>
      <c r="I221" s="34"/>
      <c r="J221" s="34"/>
      <c r="K221" s="34"/>
      <c r="L221" s="33"/>
      <c r="M221" s="38">
        <v>26.26</v>
      </c>
      <c r="N221" s="30">
        <v>64.5</v>
      </c>
      <c r="O221" s="50">
        <f>N221*M221</f>
        <v>1693.7700000000002</v>
      </c>
      <c r="P221" s="35">
        <f t="shared" si="27"/>
        <v>389.57</v>
      </c>
      <c r="Q221" s="40">
        <f t="shared" si="30"/>
        <v>3387.5400000000004</v>
      </c>
      <c r="R221" s="35"/>
    </row>
    <row r="222" spans="1:18" x14ac:dyDescent="0.3">
      <c r="A222" s="37">
        <v>43674</v>
      </c>
      <c r="B222" s="36" t="s">
        <v>93</v>
      </c>
      <c r="C222" s="34"/>
      <c r="D222" s="31">
        <v>107</v>
      </c>
      <c r="E222" s="35"/>
      <c r="F222" s="35"/>
      <c r="G222" s="34"/>
      <c r="H222" s="34"/>
      <c r="I222" s="34"/>
      <c r="J222" s="34"/>
      <c r="K222" s="34"/>
      <c r="L222" s="33"/>
      <c r="M222" s="38">
        <v>26.26</v>
      </c>
      <c r="N222" s="30">
        <v>107</v>
      </c>
      <c r="O222" s="50">
        <f>(M222*80)+(N222-80)*(M222*1.5)</f>
        <v>3164.33</v>
      </c>
      <c r="P222" s="35">
        <f t="shared" si="27"/>
        <v>727.8</v>
      </c>
      <c r="Q222" s="40">
        <f t="shared" si="30"/>
        <v>6328.66</v>
      </c>
      <c r="R222" s="35"/>
    </row>
    <row r="223" spans="1:18" x14ac:dyDescent="0.3">
      <c r="A223" s="37">
        <v>43688</v>
      </c>
      <c r="B223" s="36" t="s">
        <v>93</v>
      </c>
      <c r="C223" s="34"/>
      <c r="D223" s="31">
        <v>101.5</v>
      </c>
      <c r="E223" s="35"/>
      <c r="F223" s="35"/>
      <c r="G223" s="34"/>
      <c r="H223" s="34"/>
      <c r="I223" s="34"/>
      <c r="J223" s="34"/>
      <c r="K223" s="34"/>
      <c r="L223" s="33"/>
      <c r="M223" s="38">
        <v>26.26</v>
      </c>
      <c r="N223" s="30">
        <v>101.5</v>
      </c>
      <c r="O223" s="50">
        <f t="shared" ref="O223:O228" si="31">(M223*80)+(N223-80)*(M223*1.5)</f>
        <v>2947.6850000000004</v>
      </c>
      <c r="P223" s="35">
        <f t="shared" si="27"/>
        <v>677.97</v>
      </c>
      <c r="Q223" s="40">
        <f t="shared" si="30"/>
        <v>5895.3700000000008</v>
      </c>
      <c r="R223" s="35"/>
    </row>
    <row r="224" spans="1:18" x14ac:dyDescent="0.3">
      <c r="A224" s="37">
        <v>43701</v>
      </c>
      <c r="B224" s="36" t="s">
        <v>93</v>
      </c>
      <c r="C224" s="34"/>
      <c r="D224" s="31">
        <v>134</v>
      </c>
      <c r="E224" s="35"/>
      <c r="F224" s="35"/>
      <c r="G224" s="34"/>
      <c r="H224" s="34"/>
      <c r="I224" s="34"/>
      <c r="J224" s="34"/>
      <c r="K224" s="34"/>
      <c r="L224" s="33"/>
      <c r="M224" s="38">
        <v>26.26</v>
      </c>
      <c r="N224" s="30">
        <v>134</v>
      </c>
      <c r="O224" s="50">
        <f t="shared" si="31"/>
        <v>4227.8600000000006</v>
      </c>
      <c r="P224" s="35">
        <f t="shared" si="27"/>
        <v>930.13</v>
      </c>
      <c r="Q224" s="40">
        <f t="shared" si="30"/>
        <v>8455.7200000000012</v>
      </c>
      <c r="R224" s="35"/>
    </row>
    <row r="225" spans="1:18" x14ac:dyDescent="0.3">
      <c r="A225" s="37">
        <v>43715</v>
      </c>
      <c r="B225" s="36" t="s">
        <v>93</v>
      </c>
      <c r="C225" s="34"/>
      <c r="D225" s="31">
        <v>93.5</v>
      </c>
      <c r="E225" s="35"/>
      <c r="F225" s="35"/>
      <c r="G225" s="34"/>
      <c r="H225" s="34"/>
      <c r="I225" s="34"/>
      <c r="J225" s="34"/>
      <c r="K225" s="34"/>
      <c r="L225" s="33"/>
      <c r="M225" s="38">
        <v>26.26</v>
      </c>
      <c r="N225" s="30">
        <v>93.5</v>
      </c>
      <c r="O225" s="50">
        <f>(M225*79.5)+(M225*1.5)*14</f>
        <v>2639.13</v>
      </c>
      <c r="P225" s="35">
        <f t="shared" si="27"/>
        <v>580.61</v>
      </c>
      <c r="Q225" s="40">
        <f t="shared" si="30"/>
        <v>5278.26</v>
      </c>
      <c r="R225" s="35"/>
    </row>
    <row r="226" spans="1:18" x14ac:dyDescent="0.3">
      <c r="A226" s="37">
        <v>43729</v>
      </c>
      <c r="B226" s="36" t="s">
        <v>93</v>
      </c>
      <c r="C226" s="34"/>
      <c r="D226" s="31">
        <v>118</v>
      </c>
      <c r="E226" s="35"/>
      <c r="F226" s="35"/>
      <c r="G226" s="34"/>
      <c r="H226" s="34"/>
      <c r="I226" s="34"/>
      <c r="J226" s="34"/>
      <c r="K226" s="34"/>
      <c r="L226" s="33"/>
      <c r="M226" s="38">
        <v>26.26</v>
      </c>
      <c r="N226" s="30">
        <v>118</v>
      </c>
      <c r="O226" s="50">
        <f t="shared" si="31"/>
        <v>3597.62</v>
      </c>
      <c r="P226" s="35">
        <f t="shared" si="27"/>
        <v>755.5</v>
      </c>
      <c r="Q226" s="40">
        <f t="shared" si="30"/>
        <v>7195.24</v>
      </c>
      <c r="R226" s="35"/>
    </row>
    <row r="227" spans="1:18" x14ac:dyDescent="0.3">
      <c r="A227" s="37">
        <v>43756</v>
      </c>
      <c r="B227" s="36" t="s">
        <v>93</v>
      </c>
      <c r="C227" s="34"/>
      <c r="D227" s="31">
        <v>95</v>
      </c>
      <c r="E227" s="35"/>
      <c r="F227" s="35"/>
      <c r="G227" s="34"/>
      <c r="H227" s="34"/>
      <c r="I227" s="34"/>
      <c r="J227" s="34"/>
      <c r="K227" s="34"/>
      <c r="L227" s="33"/>
      <c r="M227" s="38">
        <v>26.26</v>
      </c>
      <c r="N227" s="30">
        <v>95</v>
      </c>
      <c r="O227" s="50">
        <f t="shared" si="31"/>
        <v>2691.65</v>
      </c>
      <c r="P227" s="35">
        <f t="shared" si="27"/>
        <v>538.33000000000004</v>
      </c>
      <c r="Q227" s="40">
        <f t="shared" si="30"/>
        <v>5383.3</v>
      </c>
      <c r="R227" s="35"/>
    </row>
    <row r="228" spans="1:18" x14ac:dyDescent="0.3">
      <c r="A228" s="37">
        <v>43771</v>
      </c>
      <c r="B228" s="36" t="s">
        <v>93</v>
      </c>
      <c r="C228" s="34"/>
      <c r="D228" s="31">
        <v>120</v>
      </c>
      <c r="E228" s="35"/>
      <c r="F228" s="35"/>
      <c r="G228" s="34"/>
      <c r="H228" s="34"/>
      <c r="I228" s="34"/>
      <c r="J228" s="34"/>
      <c r="K228" s="34"/>
      <c r="L228" s="33"/>
      <c r="M228" s="38">
        <v>26.26</v>
      </c>
      <c r="N228" s="30">
        <v>120</v>
      </c>
      <c r="O228" s="50">
        <f t="shared" si="31"/>
        <v>3676.4</v>
      </c>
      <c r="P228" s="35">
        <f t="shared" si="27"/>
        <v>735.28</v>
      </c>
      <c r="Q228" s="40">
        <f t="shared" si="30"/>
        <v>7352.8</v>
      </c>
      <c r="R228" s="35"/>
    </row>
    <row r="229" spans="1:18" x14ac:dyDescent="0.3">
      <c r="A229" s="32">
        <v>43441</v>
      </c>
      <c r="B229" s="33" t="s">
        <v>95</v>
      </c>
      <c r="C229" s="34">
        <v>720</v>
      </c>
      <c r="D229" s="30">
        <v>40</v>
      </c>
      <c r="E229" s="35">
        <v>82.65</v>
      </c>
      <c r="F229" s="35">
        <v>720</v>
      </c>
      <c r="G229" s="34">
        <v>82.65</v>
      </c>
      <c r="H229" s="34">
        <v>0</v>
      </c>
      <c r="I229" s="34">
        <v>802.65</v>
      </c>
      <c r="J229" s="34">
        <v>161.02000000000001</v>
      </c>
      <c r="K229" s="34">
        <v>963.67</v>
      </c>
      <c r="L229" s="33">
        <v>100108</v>
      </c>
      <c r="M229" s="34">
        <f t="shared" si="26"/>
        <v>20.06625</v>
      </c>
      <c r="N229" s="27">
        <v>40</v>
      </c>
      <c r="O229" s="34">
        <v>0</v>
      </c>
      <c r="P229" s="35">
        <f t="shared" ref="P229:P292" si="32">ROUND(((ROUNDDOWN(($W$1-A229)/30,0))/100)*O229,2)</f>
        <v>0</v>
      </c>
      <c r="Q229" s="40">
        <f t="shared" si="30"/>
        <v>0</v>
      </c>
      <c r="R229" s="35">
        <v>556.29999999999995</v>
      </c>
    </row>
    <row r="230" spans="1:18" x14ac:dyDescent="0.3">
      <c r="A230" s="32">
        <v>43455</v>
      </c>
      <c r="B230" s="33" t="s">
        <v>95</v>
      </c>
      <c r="C230" s="34">
        <v>1328</v>
      </c>
      <c r="D230" s="33">
        <v>80</v>
      </c>
      <c r="E230" s="35">
        <v>293.92</v>
      </c>
      <c r="F230" s="35">
        <v>1760</v>
      </c>
      <c r="G230" s="34">
        <v>325.92</v>
      </c>
      <c r="H230" s="34">
        <v>400</v>
      </c>
      <c r="I230" s="34">
        <v>2053.92</v>
      </c>
      <c r="J230" s="34">
        <v>367.16</v>
      </c>
      <c r="K230" s="34">
        <v>2421.08</v>
      </c>
      <c r="L230" s="33">
        <v>100116</v>
      </c>
      <c r="M230" s="34">
        <f t="shared" si="26"/>
        <v>21.395</v>
      </c>
      <c r="N230" s="27">
        <v>96</v>
      </c>
      <c r="O230" s="34">
        <f t="shared" si="28"/>
        <v>171.16</v>
      </c>
      <c r="P230" s="35">
        <f t="shared" si="32"/>
        <v>51.35</v>
      </c>
      <c r="Q230" s="40">
        <f t="shared" si="30"/>
        <v>342.32</v>
      </c>
      <c r="R230" s="35"/>
    </row>
    <row r="231" spans="1:18" x14ac:dyDescent="0.3">
      <c r="A231" s="32">
        <v>43469</v>
      </c>
      <c r="B231" s="33" t="s">
        <v>95</v>
      </c>
      <c r="C231" s="34">
        <v>1153</v>
      </c>
      <c r="D231" s="36">
        <v>51.5</v>
      </c>
      <c r="E231" s="35">
        <v>337.3</v>
      </c>
      <c r="F231" s="35">
        <v>1440</v>
      </c>
      <c r="G231" s="34">
        <v>274.3</v>
      </c>
      <c r="H231" s="34">
        <v>350</v>
      </c>
      <c r="I231" s="34">
        <v>1777.3</v>
      </c>
      <c r="J231" s="34">
        <v>339.33</v>
      </c>
      <c r="K231" s="34">
        <v>2116.63</v>
      </c>
      <c r="L231" s="33">
        <v>100122</v>
      </c>
      <c r="M231" s="34">
        <f t="shared" si="26"/>
        <v>21.28502994011976</v>
      </c>
      <c r="N231" s="27">
        <v>83.5</v>
      </c>
      <c r="O231" s="38">
        <f>(M231*0.5)*11.5</f>
        <v>122.38892215568862</v>
      </c>
      <c r="P231" s="35">
        <f t="shared" si="32"/>
        <v>36.72</v>
      </c>
      <c r="Q231" s="40">
        <f t="shared" si="30"/>
        <v>244.77784431137724</v>
      </c>
      <c r="R231" s="35"/>
    </row>
    <row r="232" spans="1:18" hidden="1" x14ac:dyDescent="0.3">
      <c r="A232" s="37" t="s">
        <v>77</v>
      </c>
      <c r="B232" s="33" t="s">
        <v>95</v>
      </c>
      <c r="C232" s="34">
        <v>1136</v>
      </c>
      <c r="D232" s="33">
        <v>80</v>
      </c>
      <c r="E232" s="33">
        <v>306.52999999999997</v>
      </c>
      <c r="F232" s="33">
        <v>1440</v>
      </c>
      <c r="G232" s="34">
        <v>180.53</v>
      </c>
      <c r="H232" s="34">
        <v>430</v>
      </c>
      <c r="I232" s="34">
        <v>1746.53</v>
      </c>
      <c r="J232" s="34">
        <v>336.26</v>
      </c>
      <c r="K232" s="34">
        <v>2082.79</v>
      </c>
      <c r="L232" s="33">
        <v>100131</v>
      </c>
      <c r="M232" s="34" t="e">
        <f t="shared" si="26"/>
        <v>#DIV/0!</v>
      </c>
      <c r="N232" s="27"/>
      <c r="O232" s="34" t="e">
        <f t="shared" si="28"/>
        <v>#DIV/0!</v>
      </c>
      <c r="P232" s="35" t="e">
        <f t="shared" si="32"/>
        <v>#VALUE!</v>
      </c>
      <c r="Q232" s="34" t="e">
        <f t="shared" si="29"/>
        <v>#DIV/0!</v>
      </c>
      <c r="R232" s="35"/>
    </row>
    <row r="233" spans="1:18" x14ac:dyDescent="0.3">
      <c r="A233" s="32">
        <v>43497</v>
      </c>
      <c r="B233" s="33" t="s">
        <v>95</v>
      </c>
      <c r="C233" s="34">
        <v>1759</v>
      </c>
      <c r="D233" s="33">
        <v>80</v>
      </c>
      <c r="E233" s="35">
        <v>1349.49</v>
      </c>
      <c r="F233" s="35">
        <v>1440</v>
      </c>
      <c r="G233" s="34">
        <v>507.49</v>
      </c>
      <c r="H233" s="34">
        <v>523</v>
      </c>
      <c r="I233" s="34">
        <v>2789.49</v>
      </c>
      <c r="J233" s="34">
        <v>441.16</v>
      </c>
      <c r="K233" s="34">
        <v>3230.65</v>
      </c>
      <c r="L233" s="33">
        <v>100140</v>
      </c>
      <c r="M233" s="34">
        <f t="shared" si="26"/>
        <v>25.13054054054054</v>
      </c>
      <c r="N233" s="27">
        <v>111</v>
      </c>
      <c r="O233" s="34">
        <f t="shared" si="28"/>
        <v>389.52337837837837</v>
      </c>
      <c r="P233" s="35">
        <f t="shared" si="32"/>
        <v>112.96</v>
      </c>
      <c r="Q233" s="40">
        <f t="shared" ref="Q233:Q266" si="33">O233*2</f>
        <v>779.04675675675674</v>
      </c>
      <c r="R233" s="35"/>
    </row>
    <row r="234" spans="1:18" x14ac:dyDescent="0.3">
      <c r="A234" s="32">
        <v>43511</v>
      </c>
      <c r="B234" s="33" t="s">
        <v>95</v>
      </c>
      <c r="C234" s="34">
        <v>1900</v>
      </c>
      <c r="D234" s="33">
        <v>80</v>
      </c>
      <c r="E234" s="35">
        <v>209.19</v>
      </c>
      <c r="F234" s="35">
        <v>1900</v>
      </c>
      <c r="G234" s="34">
        <v>209.19</v>
      </c>
      <c r="H234" s="34">
        <v>0</v>
      </c>
      <c r="I234" s="34">
        <v>2109.19</v>
      </c>
      <c r="J234" s="34">
        <v>364.19</v>
      </c>
      <c r="K234" s="34">
        <v>2473.38</v>
      </c>
      <c r="L234" s="33" t="s">
        <v>14</v>
      </c>
      <c r="M234" s="34">
        <f t="shared" si="26"/>
        <v>21.091899999999999</v>
      </c>
      <c r="N234" s="27">
        <v>100</v>
      </c>
      <c r="O234" s="34">
        <f t="shared" si="28"/>
        <v>210.91899999999998</v>
      </c>
      <c r="P234" s="35">
        <f t="shared" si="32"/>
        <v>59.06</v>
      </c>
      <c r="Q234" s="40">
        <f t="shared" si="33"/>
        <v>421.83799999999997</v>
      </c>
      <c r="R234" s="35"/>
    </row>
    <row r="235" spans="1:18" x14ac:dyDescent="0.3">
      <c r="A235" s="32">
        <v>43525</v>
      </c>
      <c r="B235" s="33" t="s">
        <v>95</v>
      </c>
      <c r="C235" s="34">
        <v>1320</v>
      </c>
      <c r="D235" s="33">
        <v>80</v>
      </c>
      <c r="E235" s="35">
        <v>607.28</v>
      </c>
      <c r="F235" s="35">
        <v>1440</v>
      </c>
      <c r="G235" s="34">
        <v>204.28</v>
      </c>
      <c r="H235" s="34">
        <v>523</v>
      </c>
      <c r="I235" s="34">
        <v>2047.28</v>
      </c>
      <c r="J235" s="34">
        <v>354.21</v>
      </c>
      <c r="K235" s="34">
        <v>2401.4899999999998</v>
      </c>
      <c r="L235" s="33">
        <v>100159</v>
      </c>
      <c r="M235" s="34">
        <f t="shared" si="26"/>
        <v>22.747555555555554</v>
      </c>
      <c r="N235" s="27">
        <v>90</v>
      </c>
      <c r="O235" s="34">
        <f t="shared" si="28"/>
        <v>113.73777777777777</v>
      </c>
      <c r="P235" s="35">
        <f t="shared" si="32"/>
        <v>31.85</v>
      </c>
      <c r="Q235" s="40">
        <f t="shared" si="33"/>
        <v>227.47555555555553</v>
      </c>
      <c r="R235" s="35"/>
    </row>
    <row r="236" spans="1:18" x14ac:dyDescent="0.3">
      <c r="A236" s="32">
        <v>43539</v>
      </c>
      <c r="B236" s="33" t="s">
        <v>95</v>
      </c>
      <c r="C236" s="34">
        <v>1776</v>
      </c>
      <c r="D236" s="33">
        <v>80</v>
      </c>
      <c r="E236" s="35">
        <v>678.13</v>
      </c>
      <c r="F236" s="35">
        <v>1440</v>
      </c>
      <c r="G236" s="34">
        <v>342.13</v>
      </c>
      <c r="H236" s="34">
        <v>0</v>
      </c>
      <c r="I236" s="34">
        <v>2118.13</v>
      </c>
      <c r="J236" s="34">
        <v>360.9</v>
      </c>
      <c r="K236" s="34">
        <v>2479.0300000000002</v>
      </c>
      <c r="L236" s="33" t="s">
        <v>14</v>
      </c>
      <c r="M236" s="34">
        <f t="shared" si="26"/>
        <v>22.653796791443852</v>
      </c>
      <c r="N236" s="27">
        <v>93.5</v>
      </c>
      <c r="O236" s="34">
        <f t="shared" si="28"/>
        <v>152.91312834224601</v>
      </c>
      <c r="P236" s="35">
        <f t="shared" si="32"/>
        <v>41.29</v>
      </c>
      <c r="Q236" s="40">
        <f t="shared" si="33"/>
        <v>305.82625668449202</v>
      </c>
      <c r="R236" s="35"/>
    </row>
    <row r="237" spans="1:18" x14ac:dyDescent="0.3">
      <c r="A237" s="32">
        <v>43553</v>
      </c>
      <c r="B237" s="33" t="s">
        <v>95</v>
      </c>
      <c r="C237" s="34">
        <v>1379</v>
      </c>
      <c r="D237" s="33">
        <v>80</v>
      </c>
      <c r="E237" s="35">
        <v>619.49</v>
      </c>
      <c r="F237" s="35">
        <v>1440</v>
      </c>
      <c r="G237" s="34">
        <v>330.49</v>
      </c>
      <c r="H237" s="34">
        <v>350</v>
      </c>
      <c r="I237" s="34">
        <v>2059.4899999999998</v>
      </c>
      <c r="J237" s="34">
        <v>355.38</v>
      </c>
      <c r="K237" s="34">
        <v>2414.87</v>
      </c>
      <c r="L237" s="33" t="s">
        <v>14</v>
      </c>
      <c r="M237" s="34">
        <f t="shared" si="26"/>
        <v>22.631758241758238</v>
      </c>
      <c r="N237" s="27">
        <v>91</v>
      </c>
      <c r="O237" s="34">
        <f t="shared" si="28"/>
        <v>124.4746703296703</v>
      </c>
      <c r="P237" s="35">
        <f t="shared" si="32"/>
        <v>33.61</v>
      </c>
      <c r="Q237" s="40">
        <f t="shared" si="33"/>
        <v>248.94934065934061</v>
      </c>
      <c r="R237" s="35"/>
    </row>
    <row r="238" spans="1:18" x14ac:dyDescent="0.3">
      <c r="A238" s="32">
        <v>43567</v>
      </c>
      <c r="B238" s="33" t="s">
        <v>95</v>
      </c>
      <c r="C238" s="34">
        <v>1632</v>
      </c>
      <c r="D238" s="33">
        <v>80</v>
      </c>
      <c r="E238" s="35">
        <v>548.32000000000005</v>
      </c>
      <c r="F238" s="35">
        <v>1440</v>
      </c>
      <c r="G238" s="34">
        <v>316.32</v>
      </c>
      <c r="H238" s="34">
        <v>40</v>
      </c>
      <c r="I238" s="34">
        <v>1988.32</v>
      </c>
      <c r="J238" s="34">
        <v>348.64</v>
      </c>
      <c r="K238" s="34">
        <v>2336.96</v>
      </c>
      <c r="L238" s="33" t="s">
        <v>14</v>
      </c>
      <c r="M238" s="34">
        <f t="shared" si="26"/>
        <v>22.594545454545457</v>
      </c>
      <c r="N238" s="27">
        <v>88</v>
      </c>
      <c r="O238" s="34">
        <f t="shared" si="28"/>
        <v>90.378181818181829</v>
      </c>
      <c r="P238" s="35">
        <f t="shared" si="32"/>
        <v>24.4</v>
      </c>
      <c r="Q238" s="40">
        <f t="shared" si="33"/>
        <v>180.75636363636366</v>
      </c>
      <c r="R238" s="35"/>
    </row>
    <row r="239" spans="1:18" x14ac:dyDescent="0.3">
      <c r="A239" s="32">
        <v>43581</v>
      </c>
      <c r="B239" s="33" t="s">
        <v>95</v>
      </c>
      <c r="C239" s="34">
        <v>1222</v>
      </c>
      <c r="D239" s="33">
        <v>80</v>
      </c>
      <c r="E239" s="35">
        <v>548.29</v>
      </c>
      <c r="F239" s="35">
        <v>1440</v>
      </c>
      <c r="G239" s="34">
        <v>316.29000000000002</v>
      </c>
      <c r="H239" s="34">
        <v>450</v>
      </c>
      <c r="I239" s="34">
        <v>1988.29</v>
      </c>
      <c r="J239" s="34">
        <v>345.25</v>
      </c>
      <c r="K239" s="34">
        <v>2333.54</v>
      </c>
      <c r="L239" s="33" t="s">
        <v>14</v>
      </c>
      <c r="M239" s="34">
        <f t="shared" si="26"/>
        <v>22.594204545454545</v>
      </c>
      <c r="N239" s="27">
        <v>88</v>
      </c>
      <c r="O239" s="34">
        <f t="shared" si="28"/>
        <v>90.37681818181818</v>
      </c>
      <c r="P239" s="35">
        <f t="shared" si="32"/>
        <v>23.5</v>
      </c>
      <c r="Q239" s="40">
        <f t="shared" si="33"/>
        <v>180.75363636363636</v>
      </c>
      <c r="R239" s="35"/>
    </row>
    <row r="240" spans="1:18" x14ac:dyDescent="0.3">
      <c r="A240" s="32">
        <v>43595</v>
      </c>
      <c r="B240" s="33" t="s">
        <v>95</v>
      </c>
      <c r="C240" s="34">
        <v>1840</v>
      </c>
      <c r="D240" s="33">
        <v>80</v>
      </c>
      <c r="E240" s="35">
        <v>758.04</v>
      </c>
      <c r="F240" s="35">
        <v>1440</v>
      </c>
      <c r="G240" s="34">
        <v>358.04</v>
      </c>
      <c r="H240" s="34">
        <v>0</v>
      </c>
      <c r="I240" s="34">
        <v>2198.04</v>
      </c>
      <c r="J240" s="34">
        <v>364.74</v>
      </c>
      <c r="K240" s="34">
        <v>2562.7800000000002</v>
      </c>
      <c r="L240" s="33" t="s">
        <v>14</v>
      </c>
      <c r="M240" s="34">
        <f t="shared" si="26"/>
        <v>23.891739130434782</v>
      </c>
      <c r="N240" s="27">
        <v>92</v>
      </c>
      <c r="O240" s="34">
        <f t="shared" si="28"/>
        <v>143.35043478260869</v>
      </c>
      <c r="P240" s="35">
        <f t="shared" si="32"/>
        <v>37.270000000000003</v>
      </c>
      <c r="Q240" s="40">
        <f t="shared" si="33"/>
        <v>286.70086956521737</v>
      </c>
      <c r="R240" s="35"/>
    </row>
    <row r="241" spans="1:18" x14ac:dyDescent="0.3">
      <c r="A241" s="32">
        <v>43609</v>
      </c>
      <c r="B241" s="33" t="s">
        <v>95</v>
      </c>
      <c r="C241" s="34">
        <v>1698</v>
      </c>
      <c r="D241" s="33">
        <v>80</v>
      </c>
      <c r="E241" s="35">
        <v>1175.46</v>
      </c>
      <c r="F241" s="35">
        <v>1440</v>
      </c>
      <c r="G241" s="34">
        <v>455.46</v>
      </c>
      <c r="H241" s="34">
        <v>462</v>
      </c>
      <c r="I241" s="34">
        <v>2615.46</v>
      </c>
      <c r="J241" s="34">
        <v>403.51</v>
      </c>
      <c r="K241" s="34">
        <v>3018.97</v>
      </c>
      <c r="L241" s="33" t="s">
        <v>14</v>
      </c>
      <c r="M241" s="34">
        <f t="shared" si="26"/>
        <v>24.217222222222222</v>
      </c>
      <c r="N241" s="27">
        <v>108</v>
      </c>
      <c r="O241" s="34">
        <f t="shared" si="28"/>
        <v>339.04111111111109</v>
      </c>
      <c r="P241" s="35">
        <f t="shared" si="32"/>
        <v>84.76</v>
      </c>
      <c r="Q241" s="40">
        <f t="shared" si="33"/>
        <v>678.08222222222219</v>
      </c>
      <c r="R241" s="35"/>
    </row>
    <row r="242" spans="1:18" x14ac:dyDescent="0.3">
      <c r="A242" s="32">
        <v>43623</v>
      </c>
      <c r="B242" s="33" t="s">
        <v>95</v>
      </c>
      <c r="C242" s="34">
        <v>1790</v>
      </c>
      <c r="D242" s="33">
        <v>80</v>
      </c>
      <c r="E242" s="35">
        <v>695.61</v>
      </c>
      <c r="F242" s="35">
        <v>1440</v>
      </c>
      <c r="G242" s="34">
        <v>345.61</v>
      </c>
      <c r="H242" s="34">
        <v>0</v>
      </c>
      <c r="I242" s="34">
        <v>2135.61</v>
      </c>
      <c r="J242" s="34">
        <v>358.94</v>
      </c>
      <c r="K242" s="34">
        <v>2494.5500000000002</v>
      </c>
      <c r="L242" s="33" t="s">
        <v>14</v>
      </c>
      <c r="M242" s="34">
        <f t="shared" si="26"/>
        <v>23.861564245810058</v>
      </c>
      <c r="N242" s="27">
        <v>89.5</v>
      </c>
      <c r="O242" s="34">
        <f t="shared" si="28"/>
        <v>113.34243016759777</v>
      </c>
      <c r="P242" s="35">
        <f t="shared" si="32"/>
        <v>28.34</v>
      </c>
      <c r="Q242" s="40">
        <f t="shared" si="33"/>
        <v>226.68486033519554</v>
      </c>
      <c r="R242" s="35"/>
    </row>
    <row r="243" spans="1:18" x14ac:dyDescent="0.3">
      <c r="A243" s="32">
        <v>43637</v>
      </c>
      <c r="B243" s="33" t="s">
        <v>95</v>
      </c>
      <c r="C243" s="34">
        <v>1790</v>
      </c>
      <c r="D243" s="33">
        <v>80</v>
      </c>
      <c r="E243" s="35">
        <v>1116.94</v>
      </c>
      <c r="F243" s="35">
        <v>1440</v>
      </c>
      <c r="G243" s="34">
        <v>326.94</v>
      </c>
      <c r="H243" s="34">
        <v>440</v>
      </c>
      <c r="I243" s="34">
        <v>2556.94</v>
      </c>
      <c r="J243" s="34">
        <v>398.08</v>
      </c>
      <c r="K243" s="34">
        <v>2955.02</v>
      </c>
      <c r="L243" s="33" t="s">
        <v>14</v>
      </c>
      <c r="M243" s="34">
        <f t="shared" si="26"/>
        <v>22.932197309417042</v>
      </c>
      <c r="N243" s="27">
        <v>111.5</v>
      </c>
      <c r="O243" s="34">
        <f t="shared" si="28"/>
        <v>361.18210762331842</v>
      </c>
      <c r="P243" s="35">
        <f t="shared" si="32"/>
        <v>86.68</v>
      </c>
      <c r="Q243" s="40">
        <f t="shared" si="33"/>
        <v>722.36421524663683</v>
      </c>
      <c r="R243" s="35"/>
    </row>
    <row r="244" spans="1:18" x14ac:dyDescent="0.3">
      <c r="A244" s="32">
        <v>43651</v>
      </c>
      <c r="B244" s="33" t="s">
        <v>95</v>
      </c>
      <c r="C244" s="34">
        <v>1740</v>
      </c>
      <c r="D244" s="33">
        <v>80</v>
      </c>
      <c r="E244" s="35">
        <v>495.45</v>
      </c>
      <c r="F244" s="35">
        <v>1440</v>
      </c>
      <c r="G244" s="34">
        <v>195.45</v>
      </c>
      <c r="H244" s="34">
        <v>0</v>
      </c>
      <c r="I244" s="34">
        <v>1935.45</v>
      </c>
      <c r="J244" s="34">
        <v>340.34</v>
      </c>
      <c r="K244" s="34">
        <v>2275.79</v>
      </c>
      <c r="L244" s="33" t="s">
        <v>14</v>
      </c>
      <c r="M244" s="34">
        <f t="shared" si="26"/>
        <v>22.24655172413793</v>
      </c>
      <c r="N244" s="27">
        <v>87</v>
      </c>
      <c r="O244" s="34">
        <f t="shared" si="28"/>
        <v>77.862931034482756</v>
      </c>
      <c r="P244" s="35">
        <f t="shared" si="32"/>
        <v>18.690000000000001</v>
      </c>
      <c r="Q244" s="40">
        <f t="shared" si="33"/>
        <v>155.72586206896551</v>
      </c>
      <c r="R244" s="35"/>
    </row>
    <row r="245" spans="1:18" x14ac:dyDescent="0.3">
      <c r="A245" s="32">
        <v>43665</v>
      </c>
      <c r="B245" s="33" t="s">
        <v>95</v>
      </c>
      <c r="C245" s="34">
        <v>1620</v>
      </c>
      <c r="D245" s="36">
        <v>49</v>
      </c>
      <c r="E245" s="35">
        <v>192.35</v>
      </c>
      <c r="F245" s="35">
        <v>1620</v>
      </c>
      <c r="G245" s="34">
        <v>192.35</v>
      </c>
      <c r="H245" s="34">
        <v>0</v>
      </c>
      <c r="I245" s="34">
        <v>1812.35</v>
      </c>
      <c r="J245" s="34">
        <v>328.91</v>
      </c>
      <c r="K245" s="34">
        <v>2141.2600000000002</v>
      </c>
      <c r="L245" s="33" t="s">
        <v>14</v>
      </c>
      <c r="M245" s="34">
        <f t="shared" si="26"/>
        <v>22.374691358024691</v>
      </c>
      <c r="N245" s="27">
        <v>81</v>
      </c>
      <c r="O245" s="38">
        <f>(M245*0.5)*9</f>
        <v>100.6861111111111</v>
      </c>
      <c r="P245" s="35">
        <f t="shared" si="32"/>
        <v>23.16</v>
      </c>
      <c r="Q245" s="40">
        <f t="shared" si="33"/>
        <v>201.37222222222221</v>
      </c>
      <c r="R245" s="35"/>
    </row>
    <row r="246" spans="1:18" x14ac:dyDescent="0.3">
      <c r="A246" s="32">
        <v>43679</v>
      </c>
      <c r="B246" s="33" t="s">
        <v>95</v>
      </c>
      <c r="C246" s="34">
        <v>1460</v>
      </c>
      <c r="D246" s="33">
        <v>80</v>
      </c>
      <c r="E246" s="35">
        <v>253.37</v>
      </c>
      <c r="F246" s="35">
        <v>1900</v>
      </c>
      <c r="G246" s="34">
        <v>253.39</v>
      </c>
      <c r="H246" s="34">
        <v>439.98</v>
      </c>
      <c r="I246" s="34">
        <v>2153.37</v>
      </c>
      <c r="J246" s="34">
        <v>360.59</v>
      </c>
      <c r="K246" s="34">
        <v>2513.96</v>
      </c>
      <c r="L246" s="33" t="s">
        <v>14</v>
      </c>
      <c r="M246" s="34">
        <f t="shared" si="26"/>
        <v>22.667052631578947</v>
      </c>
      <c r="N246" s="27">
        <v>95</v>
      </c>
      <c r="O246" s="34">
        <f t="shared" si="28"/>
        <v>170.00289473684211</v>
      </c>
      <c r="P246" s="35">
        <f t="shared" si="32"/>
        <v>39.1</v>
      </c>
      <c r="Q246" s="40">
        <f t="shared" si="33"/>
        <v>340.00578947368422</v>
      </c>
      <c r="R246" s="35"/>
    </row>
    <row r="247" spans="1:18" x14ac:dyDescent="0.3">
      <c r="A247" s="32">
        <v>43693</v>
      </c>
      <c r="B247" s="33" t="s">
        <v>95</v>
      </c>
      <c r="C247" s="34">
        <v>2020</v>
      </c>
      <c r="D247" s="33">
        <v>80</v>
      </c>
      <c r="E247" s="35">
        <v>279.57</v>
      </c>
      <c r="F247" s="35">
        <v>2020</v>
      </c>
      <c r="G247" s="34">
        <v>279.57</v>
      </c>
      <c r="H247" s="34">
        <v>0</v>
      </c>
      <c r="I247" s="34">
        <v>2299.5700000000002</v>
      </c>
      <c r="J247" s="34">
        <v>374.17</v>
      </c>
      <c r="K247" s="34">
        <v>2673.74</v>
      </c>
      <c r="L247" s="33" t="s">
        <v>14</v>
      </c>
      <c r="M247" s="34">
        <f t="shared" ref="M247:M311" si="34">(E247+F247)/N247</f>
        <v>22.768019801980198</v>
      </c>
      <c r="N247" s="27">
        <v>101</v>
      </c>
      <c r="O247" s="34">
        <f t="shared" si="28"/>
        <v>239.06420792079209</v>
      </c>
      <c r="P247" s="35">
        <f t="shared" si="32"/>
        <v>52.59</v>
      </c>
      <c r="Q247" s="40">
        <f t="shared" si="33"/>
        <v>478.12841584158417</v>
      </c>
      <c r="R247" s="35"/>
    </row>
    <row r="248" spans="1:18" x14ac:dyDescent="0.3">
      <c r="A248" s="32">
        <v>43707</v>
      </c>
      <c r="B248" s="33" t="s">
        <v>95</v>
      </c>
      <c r="C248" s="34">
        <v>1510</v>
      </c>
      <c r="D248" s="33">
        <v>80</v>
      </c>
      <c r="E248" s="35">
        <v>264.29000000000002</v>
      </c>
      <c r="F248" s="35">
        <v>1950</v>
      </c>
      <c r="G248" s="34">
        <v>264.29000000000002</v>
      </c>
      <c r="H248" s="34">
        <v>440</v>
      </c>
      <c r="I248" s="34">
        <v>2214.29</v>
      </c>
      <c r="J248" s="34">
        <v>366.24</v>
      </c>
      <c r="K248" s="34">
        <v>2580.5300000000002</v>
      </c>
      <c r="L248" s="33" t="s">
        <v>14</v>
      </c>
      <c r="M248" s="34">
        <f t="shared" si="34"/>
        <v>22.710666666666665</v>
      </c>
      <c r="N248" s="27">
        <v>97.5</v>
      </c>
      <c r="O248" s="34">
        <f t="shared" si="28"/>
        <v>198.71833333333331</v>
      </c>
      <c r="P248" s="35">
        <f t="shared" si="32"/>
        <v>43.72</v>
      </c>
      <c r="Q248" s="40">
        <f t="shared" si="33"/>
        <v>397.43666666666661</v>
      </c>
      <c r="R248" s="35"/>
    </row>
    <row r="249" spans="1:18" x14ac:dyDescent="0.3">
      <c r="A249" s="32">
        <v>43721</v>
      </c>
      <c r="B249" s="33" t="s">
        <v>95</v>
      </c>
      <c r="C249" s="34">
        <v>1690</v>
      </c>
      <c r="D249" s="33">
        <v>80</v>
      </c>
      <c r="E249" s="35">
        <v>207.61</v>
      </c>
      <c r="F249" s="35">
        <v>1690</v>
      </c>
      <c r="G249" s="34">
        <v>207.61</v>
      </c>
      <c r="H249" s="34">
        <v>0</v>
      </c>
      <c r="I249" s="34">
        <v>1897.61</v>
      </c>
      <c r="J249" s="34">
        <v>336.83</v>
      </c>
      <c r="K249" s="34">
        <v>2234.44</v>
      </c>
      <c r="L249" s="33" t="s">
        <v>14</v>
      </c>
      <c r="M249" s="34">
        <f t="shared" si="34"/>
        <v>20.080529100529102</v>
      </c>
      <c r="N249" s="27">
        <v>94.5</v>
      </c>
      <c r="O249" s="34">
        <f t="shared" si="28"/>
        <v>145.58383597883599</v>
      </c>
      <c r="P249" s="35">
        <f t="shared" si="32"/>
        <v>30.57</v>
      </c>
      <c r="Q249" s="40">
        <f t="shared" si="33"/>
        <v>291.16767195767198</v>
      </c>
      <c r="R249" s="35"/>
    </row>
    <row r="250" spans="1:18" x14ac:dyDescent="0.3">
      <c r="A250" s="32">
        <v>43735</v>
      </c>
      <c r="B250" s="33" t="s">
        <v>95</v>
      </c>
      <c r="C250" s="34">
        <v>1849</v>
      </c>
      <c r="D250" s="33">
        <v>80</v>
      </c>
      <c r="E250" s="35">
        <v>341.59</v>
      </c>
      <c r="F250" s="35">
        <v>2289</v>
      </c>
      <c r="G250" s="34">
        <v>341.59</v>
      </c>
      <c r="H250" s="34">
        <v>440</v>
      </c>
      <c r="I250" s="34">
        <v>2630.59</v>
      </c>
      <c r="J250" s="34">
        <v>404.92</v>
      </c>
      <c r="K250" s="34">
        <v>3035.51</v>
      </c>
      <c r="L250" s="33" t="s">
        <v>14</v>
      </c>
      <c r="M250" s="34">
        <f t="shared" si="34"/>
        <v>24.133853211009175</v>
      </c>
      <c r="N250" s="27">
        <v>109</v>
      </c>
      <c r="O250" s="34">
        <f t="shared" si="28"/>
        <v>349.94087155963302</v>
      </c>
      <c r="P250" s="35">
        <f t="shared" si="32"/>
        <v>73.489999999999995</v>
      </c>
      <c r="Q250" s="40">
        <f t="shared" si="33"/>
        <v>699.88174311926605</v>
      </c>
      <c r="R250" s="35"/>
    </row>
    <row r="251" spans="1:18" x14ac:dyDescent="0.3">
      <c r="A251" s="32">
        <v>43749</v>
      </c>
      <c r="B251" s="33" t="s">
        <v>95</v>
      </c>
      <c r="C251" s="34">
        <v>2383</v>
      </c>
      <c r="D251" s="33">
        <v>80</v>
      </c>
      <c r="E251" s="35">
        <v>364.96</v>
      </c>
      <c r="F251" s="35">
        <v>2383</v>
      </c>
      <c r="G251" s="34">
        <v>364.96</v>
      </c>
      <c r="H251" s="34">
        <v>0</v>
      </c>
      <c r="I251" s="34">
        <v>2747.96</v>
      </c>
      <c r="J251" s="34">
        <v>415.84</v>
      </c>
      <c r="K251" s="34">
        <v>3163.8</v>
      </c>
      <c r="L251" s="33" t="s">
        <v>14</v>
      </c>
      <c r="M251" s="34">
        <f t="shared" si="34"/>
        <v>24.211101321585904</v>
      </c>
      <c r="N251" s="27">
        <v>113.5</v>
      </c>
      <c r="O251" s="34">
        <f t="shared" si="28"/>
        <v>405.53594713656389</v>
      </c>
      <c r="P251" s="35">
        <f t="shared" si="32"/>
        <v>81.11</v>
      </c>
      <c r="Q251" s="40">
        <f t="shared" si="33"/>
        <v>811.07189427312778</v>
      </c>
      <c r="R251" s="35"/>
    </row>
    <row r="252" spans="1:18" x14ac:dyDescent="0.3">
      <c r="A252" s="32">
        <v>43763</v>
      </c>
      <c r="B252" s="33" t="s">
        <v>95</v>
      </c>
      <c r="C252" s="34">
        <v>2016</v>
      </c>
      <c r="D252" s="33">
        <v>80</v>
      </c>
      <c r="E252" s="35">
        <v>278.69</v>
      </c>
      <c r="F252" s="35">
        <v>2016</v>
      </c>
      <c r="G252" s="34">
        <v>278.69</v>
      </c>
      <c r="H252" s="34">
        <v>0</v>
      </c>
      <c r="I252" s="34">
        <v>2294.69</v>
      </c>
      <c r="J252" s="34">
        <v>373.71</v>
      </c>
      <c r="K252" s="34">
        <v>2668.4</v>
      </c>
      <c r="L252" s="33" t="s">
        <v>14</v>
      </c>
      <c r="M252" s="34">
        <f t="shared" si="34"/>
        <v>23.903020833333333</v>
      </c>
      <c r="N252" s="27">
        <v>96</v>
      </c>
      <c r="O252" s="34">
        <f t="shared" si="28"/>
        <v>191.22416666666666</v>
      </c>
      <c r="P252" s="35">
        <f t="shared" si="32"/>
        <v>38.24</v>
      </c>
      <c r="Q252" s="40">
        <f t="shared" si="33"/>
        <v>382.44833333333332</v>
      </c>
      <c r="R252" s="35"/>
    </row>
    <row r="253" spans="1:18" x14ac:dyDescent="0.3">
      <c r="A253" s="32">
        <v>43777</v>
      </c>
      <c r="B253" s="33" t="s">
        <v>95</v>
      </c>
      <c r="C253" s="34">
        <v>2373</v>
      </c>
      <c r="D253" s="33">
        <v>80</v>
      </c>
      <c r="E253" s="35">
        <v>362.47</v>
      </c>
      <c r="F253" s="35">
        <v>2373</v>
      </c>
      <c r="G253" s="34">
        <v>362.47</v>
      </c>
      <c r="H253" s="34">
        <v>0</v>
      </c>
      <c r="I253" s="34">
        <v>2735.47</v>
      </c>
      <c r="J253" s="34">
        <v>397.42</v>
      </c>
      <c r="K253" s="34">
        <v>3132.89</v>
      </c>
      <c r="L253" s="33" t="s">
        <v>14</v>
      </c>
      <c r="M253" s="34">
        <f t="shared" si="34"/>
        <v>24.20769911504425</v>
      </c>
      <c r="N253" s="27">
        <v>113</v>
      </c>
      <c r="O253" s="34">
        <f t="shared" si="28"/>
        <v>399.42703539823015</v>
      </c>
      <c r="P253" s="35">
        <f t="shared" si="32"/>
        <v>79.89</v>
      </c>
      <c r="Q253" s="40">
        <f t="shared" si="33"/>
        <v>798.85407079646029</v>
      </c>
      <c r="R253" s="35"/>
    </row>
    <row r="254" spans="1:18" x14ac:dyDescent="0.3">
      <c r="A254" s="32">
        <v>43791</v>
      </c>
      <c r="B254" s="33" t="s">
        <v>95</v>
      </c>
      <c r="C254" s="34">
        <v>1592</v>
      </c>
      <c r="D254" s="36">
        <v>50.5</v>
      </c>
      <c r="E254" s="35">
        <v>282.17</v>
      </c>
      <c r="F254" s="35">
        <v>2032</v>
      </c>
      <c r="G254" s="34">
        <v>282.17</v>
      </c>
      <c r="H254" s="34">
        <v>440</v>
      </c>
      <c r="I254" s="34">
        <v>2314.17</v>
      </c>
      <c r="J254" s="34">
        <v>337.57</v>
      </c>
      <c r="K254" s="34">
        <v>2651.74</v>
      </c>
      <c r="L254" s="33" t="s">
        <v>14</v>
      </c>
      <c r="M254" s="34">
        <f t="shared" si="34"/>
        <v>26.75341040462428</v>
      </c>
      <c r="N254" s="27">
        <v>86.5</v>
      </c>
      <c r="O254" s="38">
        <f>(M254*0.5)*10.5</f>
        <v>140.45540462427746</v>
      </c>
      <c r="P254" s="35">
        <f t="shared" si="32"/>
        <v>26.69</v>
      </c>
      <c r="Q254" s="40">
        <f t="shared" si="33"/>
        <v>280.91080924855493</v>
      </c>
      <c r="R254" s="35"/>
    </row>
    <row r="255" spans="1:18" x14ac:dyDescent="0.3">
      <c r="A255" s="32">
        <v>43805</v>
      </c>
      <c r="B255" s="33" t="s">
        <v>95</v>
      </c>
      <c r="C255" s="34">
        <v>2604</v>
      </c>
      <c r="D255" s="36">
        <v>49.5</v>
      </c>
      <c r="E255" s="35">
        <v>419.87</v>
      </c>
      <c r="F255" s="35">
        <v>2604</v>
      </c>
      <c r="G255" s="34">
        <v>419.87</v>
      </c>
      <c r="H255" s="34">
        <v>0</v>
      </c>
      <c r="I255" s="34">
        <v>3023.87</v>
      </c>
      <c r="J255" s="34">
        <v>391.87</v>
      </c>
      <c r="K255" s="34">
        <v>3415.74</v>
      </c>
      <c r="L255" s="33" t="s">
        <v>14</v>
      </c>
      <c r="M255" s="34">
        <f t="shared" si="34"/>
        <v>39.271038961038961</v>
      </c>
      <c r="N255" s="27">
        <v>77</v>
      </c>
      <c r="O255" s="38">
        <f>(M255*0.5)*9.5</f>
        <v>186.53743506493507</v>
      </c>
      <c r="P255" s="35">
        <f t="shared" si="32"/>
        <v>35.44</v>
      </c>
      <c r="Q255" s="40">
        <f t="shared" si="33"/>
        <v>373.07487012987013</v>
      </c>
      <c r="R255" s="35"/>
    </row>
    <row r="256" spans="1:18" x14ac:dyDescent="0.3">
      <c r="A256" s="32">
        <v>43819</v>
      </c>
      <c r="B256" s="33" t="s">
        <v>95</v>
      </c>
      <c r="C256" s="34">
        <v>2167</v>
      </c>
      <c r="D256" s="33">
        <v>80</v>
      </c>
      <c r="E256" s="35">
        <v>311.62</v>
      </c>
      <c r="F256" s="35">
        <v>2167</v>
      </c>
      <c r="G256" s="34">
        <v>311.62</v>
      </c>
      <c r="H256" s="34">
        <v>0</v>
      </c>
      <c r="I256" s="34">
        <v>2478.62</v>
      </c>
      <c r="J256" s="34">
        <v>350.15</v>
      </c>
      <c r="K256" s="34">
        <v>2828.77</v>
      </c>
      <c r="L256" s="33" t="s">
        <v>14</v>
      </c>
      <c r="M256" s="34">
        <f t="shared" si="34"/>
        <v>24.91075376884422</v>
      </c>
      <c r="N256" s="27">
        <v>99.5</v>
      </c>
      <c r="O256" s="34">
        <f t="shared" si="28"/>
        <v>242.87984924623115</v>
      </c>
      <c r="P256" s="35">
        <f t="shared" si="32"/>
        <v>43.72</v>
      </c>
      <c r="Q256" s="40">
        <f t="shared" si="33"/>
        <v>485.75969849246229</v>
      </c>
      <c r="R256" s="35"/>
    </row>
    <row r="257" spans="1:18" x14ac:dyDescent="0.3">
      <c r="A257" s="32">
        <v>43833</v>
      </c>
      <c r="B257" s="33" t="s">
        <v>95</v>
      </c>
      <c r="C257" s="34">
        <v>2387</v>
      </c>
      <c r="D257" s="36">
        <v>49.5</v>
      </c>
      <c r="E257" s="35">
        <v>360.43</v>
      </c>
      <c r="F257" s="35">
        <v>2387</v>
      </c>
      <c r="G257" s="34">
        <v>360.43</v>
      </c>
      <c r="H257" s="34">
        <v>0</v>
      </c>
      <c r="I257" s="34">
        <v>2747.43</v>
      </c>
      <c r="J257" s="34">
        <v>432.26</v>
      </c>
      <c r="K257" s="34">
        <v>3179.69</v>
      </c>
      <c r="L257" s="33" t="s">
        <v>14</v>
      </c>
      <c r="M257" s="34">
        <f t="shared" si="34"/>
        <v>31.044406779661013</v>
      </c>
      <c r="N257" s="27">
        <v>88.5</v>
      </c>
      <c r="O257" s="38">
        <f>(M257*0.5)*9.5</f>
        <v>147.4609322033898</v>
      </c>
      <c r="P257" s="35">
        <f t="shared" si="32"/>
        <v>26.54</v>
      </c>
      <c r="Q257" s="40">
        <f t="shared" si="33"/>
        <v>294.9218644067796</v>
      </c>
      <c r="R257" s="35"/>
    </row>
    <row r="258" spans="1:18" x14ac:dyDescent="0.3">
      <c r="A258" s="32">
        <v>43847</v>
      </c>
      <c r="B258" s="33" t="s">
        <v>95</v>
      </c>
      <c r="C258" s="34">
        <v>2121</v>
      </c>
      <c r="D258" s="36">
        <v>51.5</v>
      </c>
      <c r="E258" s="40"/>
      <c r="F258" s="35">
        <v>2121</v>
      </c>
      <c r="G258" s="34">
        <v>244.13</v>
      </c>
      <c r="H258" s="34">
        <v>0</v>
      </c>
      <c r="I258" s="34">
        <v>2365.13</v>
      </c>
      <c r="J258" s="34">
        <v>370.3</v>
      </c>
      <c r="K258" s="34">
        <v>2735.43</v>
      </c>
      <c r="L258" s="33" t="s">
        <v>14</v>
      </c>
      <c r="M258" s="34">
        <f t="shared" si="34"/>
        <v>23.436464088397791</v>
      </c>
      <c r="N258" s="27">
        <v>90.5</v>
      </c>
      <c r="O258" s="38">
        <f>(M258*0.5)*11.5</f>
        <v>134.75966850828729</v>
      </c>
      <c r="P258" s="35">
        <f t="shared" si="32"/>
        <v>22.91</v>
      </c>
      <c r="Q258" s="40">
        <f t="shared" si="33"/>
        <v>269.51933701657458</v>
      </c>
      <c r="R258" s="35"/>
    </row>
    <row r="259" spans="1:18" x14ac:dyDescent="0.3">
      <c r="A259" s="32">
        <v>43861</v>
      </c>
      <c r="B259" s="33" t="s">
        <v>95</v>
      </c>
      <c r="C259" s="34">
        <v>3101</v>
      </c>
      <c r="D259" s="33">
        <v>80</v>
      </c>
      <c r="E259" s="40"/>
      <c r="F259" s="35">
        <v>3101</v>
      </c>
      <c r="G259" s="34">
        <v>430.81</v>
      </c>
      <c r="H259" s="34">
        <v>0</v>
      </c>
      <c r="I259" s="34">
        <v>3531.81</v>
      </c>
      <c r="J259" s="34">
        <v>461.41</v>
      </c>
      <c r="K259" s="34">
        <v>3993.22</v>
      </c>
      <c r="L259" s="33" t="s">
        <v>14</v>
      </c>
      <c r="M259" s="34">
        <f t="shared" si="34"/>
        <v>30.551724137931036</v>
      </c>
      <c r="N259" s="27">
        <v>101.5</v>
      </c>
      <c r="O259" s="34">
        <f t="shared" si="28"/>
        <v>328.43103448275861</v>
      </c>
      <c r="P259" s="35">
        <f t="shared" si="32"/>
        <v>55.83</v>
      </c>
      <c r="Q259" s="40">
        <f t="shared" si="33"/>
        <v>656.86206896551721</v>
      </c>
      <c r="R259" s="35"/>
    </row>
    <row r="260" spans="1:18" x14ac:dyDescent="0.3">
      <c r="A260" s="32">
        <v>43875</v>
      </c>
      <c r="B260" s="33" t="s">
        <v>95</v>
      </c>
      <c r="C260" s="34">
        <v>2154</v>
      </c>
      <c r="D260" s="33">
        <v>80</v>
      </c>
      <c r="E260" s="40"/>
      <c r="F260" s="35">
        <v>2189</v>
      </c>
      <c r="G260" s="34">
        <v>247.49</v>
      </c>
      <c r="H260" s="34">
        <v>35</v>
      </c>
      <c r="I260" s="34">
        <v>2436.4899999999998</v>
      </c>
      <c r="J260" s="34">
        <v>315.79000000000002</v>
      </c>
      <c r="K260" s="34">
        <v>2752.28</v>
      </c>
      <c r="L260" s="33" t="s">
        <v>14</v>
      </c>
      <c r="M260" s="34">
        <f t="shared" si="34"/>
        <v>22</v>
      </c>
      <c r="N260" s="27">
        <v>99.5</v>
      </c>
      <c r="O260" s="34">
        <f t="shared" si="28"/>
        <v>214.5</v>
      </c>
      <c r="P260" s="35">
        <f t="shared" si="32"/>
        <v>34.32</v>
      </c>
      <c r="Q260" s="40">
        <f t="shared" si="33"/>
        <v>429</v>
      </c>
      <c r="R260" s="35"/>
    </row>
    <row r="261" spans="1:18" x14ac:dyDescent="0.3">
      <c r="A261" s="32">
        <v>43889</v>
      </c>
      <c r="B261" s="33" t="s">
        <v>95</v>
      </c>
      <c r="C261" s="34">
        <v>2376</v>
      </c>
      <c r="D261" s="33">
        <v>80</v>
      </c>
      <c r="E261" s="40"/>
      <c r="F261" s="35">
        <v>2376</v>
      </c>
      <c r="G261" s="34">
        <v>280.95999999999998</v>
      </c>
      <c r="H261" s="34">
        <v>0</v>
      </c>
      <c r="I261" s="34">
        <v>2656.96</v>
      </c>
      <c r="J261" s="34">
        <v>333.15</v>
      </c>
      <c r="K261" s="34">
        <v>2990.11</v>
      </c>
      <c r="L261" s="33" t="s">
        <v>14</v>
      </c>
      <c r="M261" s="34">
        <f t="shared" si="34"/>
        <v>22</v>
      </c>
      <c r="N261" s="27">
        <v>108</v>
      </c>
      <c r="O261" s="34">
        <f t="shared" si="28"/>
        <v>308</v>
      </c>
      <c r="P261" s="35">
        <f t="shared" si="32"/>
        <v>49.28</v>
      </c>
      <c r="Q261" s="40">
        <f t="shared" si="33"/>
        <v>616</v>
      </c>
      <c r="R261" s="35"/>
    </row>
    <row r="262" spans="1:18" x14ac:dyDescent="0.3">
      <c r="A262" s="29">
        <v>43903</v>
      </c>
      <c r="B262" s="33" t="s">
        <v>95</v>
      </c>
      <c r="C262" s="34">
        <v>2233</v>
      </c>
      <c r="D262" s="33">
        <v>80</v>
      </c>
      <c r="E262" s="40"/>
      <c r="F262" s="35">
        <v>2233</v>
      </c>
      <c r="G262" s="34">
        <v>255.37</v>
      </c>
      <c r="H262" s="34">
        <v>0</v>
      </c>
      <c r="I262" s="34">
        <v>2488.37</v>
      </c>
      <c r="J262" s="34">
        <v>319.87</v>
      </c>
      <c r="K262" s="34">
        <v>2808.24</v>
      </c>
      <c r="L262" s="33" t="s">
        <v>14</v>
      </c>
      <c r="M262" s="34">
        <f t="shared" si="34"/>
        <v>22</v>
      </c>
      <c r="N262" s="27">
        <v>101.5</v>
      </c>
      <c r="O262" s="34">
        <f t="shared" si="28"/>
        <v>236.5</v>
      </c>
      <c r="P262" s="35">
        <f t="shared" si="32"/>
        <v>35.479999999999997</v>
      </c>
      <c r="Q262" s="40">
        <f t="shared" si="33"/>
        <v>473</v>
      </c>
      <c r="R262" s="35"/>
    </row>
    <row r="263" spans="1:18" x14ac:dyDescent="0.3">
      <c r="A263" s="32">
        <v>43917</v>
      </c>
      <c r="B263" s="33" t="s">
        <v>95</v>
      </c>
      <c r="C263" s="34">
        <v>1968.54</v>
      </c>
      <c r="D263" s="33">
        <v>86</v>
      </c>
      <c r="E263" s="35"/>
      <c r="F263" s="49">
        <v>2225</v>
      </c>
      <c r="G263" s="34">
        <v>256.45999999999998</v>
      </c>
      <c r="H263" s="34">
        <v>0</v>
      </c>
      <c r="I263" s="34">
        <v>2225</v>
      </c>
      <c r="J263" s="34">
        <v>327.56</v>
      </c>
      <c r="K263" s="34">
        <v>2552.56</v>
      </c>
      <c r="L263" s="33" t="s">
        <v>14</v>
      </c>
      <c r="M263" s="34">
        <f t="shared" si="34"/>
        <v>25.872093023255815</v>
      </c>
      <c r="N263" s="27">
        <v>86</v>
      </c>
      <c r="O263" s="34">
        <v>0</v>
      </c>
      <c r="P263" s="35">
        <f t="shared" si="32"/>
        <v>0</v>
      </c>
      <c r="Q263" s="40">
        <f t="shared" si="33"/>
        <v>0</v>
      </c>
      <c r="R263" s="35"/>
    </row>
    <row r="264" spans="1:18" x14ac:dyDescent="0.3">
      <c r="A264" s="32">
        <v>43441</v>
      </c>
      <c r="B264" s="33" t="s">
        <v>96</v>
      </c>
      <c r="C264" s="34">
        <v>720</v>
      </c>
      <c r="D264" s="36">
        <v>40</v>
      </c>
      <c r="E264" s="35">
        <v>87.41</v>
      </c>
      <c r="F264" s="35">
        <v>720</v>
      </c>
      <c r="G264" s="34">
        <v>87.41</v>
      </c>
      <c r="H264" s="34">
        <v>0</v>
      </c>
      <c r="I264" s="34">
        <v>807.41</v>
      </c>
      <c r="J264" s="34">
        <v>161.49</v>
      </c>
      <c r="K264" s="34">
        <v>968.9</v>
      </c>
      <c r="L264" s="33">
        <v>100106</v>
      </c>
      <c r="M264" s="34">
        <f t="shared" si="34"/>
        <v>20.18525</v>
      </c>
      <c r="N264" s="27">
        <v>40</v>
      </c>
      <c r="O264" s="34">
        <v>0</v>
      </c>
      <c r="P264" s="35">
        <f t="shared" si="32"/>
        <v>0</v>
      </c>
      <c r="Q264" s="40">
        <f t="shared" si="33"/>
        <v>0</v>
      </c>
      <c r="R264" s="35">
        <v>556.29999999999995</v>
      </c>
    </row>
    <row r="265" spans="1:18" x14ac:dyDescent="0.3">
      <c r="A265" s="32">
        <v>43455</v>
      </c>
      <c r="B265" s="33" t="s">
        <v>96</v>
      </c>
      <c r="C265" s="34">
        <v>1310</v>
      </c>
      <c r="D265" s="33">
        <v>80</v>
      </c>
      <c r="E265" s="35">
        <v>288.82</v>
      </c>
      <c r="F265" s="35">
        <v>1760</v>
      </c>
      <c r="G265" s="34">
        <v>338.82</v>
      </c>
      <c r="H265" s="34">
        <v>400</v>
      </c>
      <c r="I265" s="34">
        <v>2048.8200000000002</v>
      </c>
      <c r="J265" s="34">
        <v>366.67</v>
      </c>
      <c r="K265" s="34">
        <v>2415.4899999999998</v>
      </c>
      <c r="L265" s="33">
        <v>100114</v>
      </c>
      <c r="M265" s="34">
        <f t="shared" si="34"/>
        <v>21.566526315789474</v>
      </c>
      <c r="N265" s="27">
        <v>95</v>
      </c>
      <c r="O265" s="34">
        <f t="shared" si="28"/>
        <v>161.74894736842106</v>
      </c>
      <c r="P265" s="35">
        <f t="shared" si="32"/>
        <v>48.52</v>
      </c>
      <c r="Q265" s="40">
        <f t="shared" si="33"/>
        <v>323.49789473684211</v>
      </c>
      <c r="R265" s="35"/>
    </row>
    <row r="266" spans="1:18" x14ac:dyDescent="0.3">
      <c r="A266" s="32">
        <v>43469</v>
      </c>
      <c r="B266" s="33" t="s">
        <v>96</v>
      </c>
      <c r="C266" s="34">
        <v>1054</v>
      </c>
      <c r="D266" s="36">
        <v>51</v>
      </c>
      <c r="E266" s="35">
        <v>343.27</v>
      </c>
      <c r="F266" s="35">
        <v>1440</v>
      </c>
      <c r="G266" s="34">
        <v>289.27</v>
      </c>
      <c r="H266" s="34">
        <v>440</v>
      </c>
      <c r="I266" s="34">
        <v>1783.27</v>
      </c>
      <c r="J266" s="34">
        <v>339.94</v>
      </c>
      <c r="K266" s="34">
        <v>2123.21</v>
      </c>
      <c r="L266" s="33">
        <v>100120</v>
      </c>
      <c r="M266" s="34">
        <f t="shared" si="34"/>
        <v>21.485180722891567</v>
      </c>
      <c r="N266" s="27">
        <v>83</v>
      </c>
      <c r="O266" s="38">
        <f>(M266*0.5)*11</f>
        <v>118.16849397590362</v>
      </c>
      <c r="P266" s="35">
        <f t="shared" si="32"/>
        <v>35.450000000000003</v>
      </c>
      <c r="Q266" s="40">
        <f t="shared" si="33"/>
        <v>236.33698795180723</v>
      </c>
      <c r="R266" s="35"/>
    </row>
    <row r="267" spans="1:18" hidden="1" x14ac:dyDescent="0.3">
      <c r="A267" s="37" t="s">
        <v>77</v>
      </c>
      <c r="B267" s="33" t="s">
        <v>96</v>
      </c>
      <c r="C267" s="34">
        <v>1136</v>
      </c>
      <c r="D267" s="33">
        <v>80</v>
      </c>
      <c r="E267" s="33">
        <v>306.52</v>
      </c>
      <c r="F267" s="33">
        <v>1440</v>
      </c>
      <c r="G267" s="34">
        <v>180.52</v>
      </c>
      <c r="H267" s="34">
        <v>430</v>
      </c>
      <c r="I267" s="34">
        <v>1746.52</v>
      </c>
      <c r="J267" s="34">
        <v>336.24</v>
      </c>
      <c r="K267" s="34">
        <v>2082.7600000000002</v>
      </c>
      <c r="L267" s="33">
        <v>100129</v>
      </c>
      <c r="M267" s="34" t="e">
        <f t="shared" si="34"/>
        <v>#DIV/0!</v>
      </c>
      <c r="N267" s="27"/>
      <c r="O267" s="34" t="e">
        <f t="shared" si="28"/>
        <v>#DIV/0!</v>
      </c>
      <c r="P267" s="35" t="e">
        <f t="shared" si="32"/>
        <v>#VALUE!</v>
      </c>
      <c r="Q267" s="34" t="e">
        <f t="shared" si="29"/>
        <v>#DIV/0!</v>
      </c>
      <c r="R267" s="35"/>
    </row>
    <row r="268" spans="1:18" x14ac:dyDescent="0.3">
      <c r="A268" s="32">
        <v>43497</v>
      </c>
      <c r="B268" s="33" t="s">
        <v>96</v>
      </c>
      <c r="C268" s="34">
        <v>1298</v>
      </c>
      <c r="D268" s="33">
        <v>80</v>
      </c>
      <c r="E268" s="35">
        <v>260.86</v>
      </c>
      <c r="F268" s="35">
        <v>1440</v>
      </c>
      <c r="G268" s="34">
        <v>272.86</v>
      </c>
      <c r="H268" s="34">
        <v>130</v>
      </c>
      <c r="I268" s="34">
        <v>1700.86</v>
      </c>
      <c r="J268" s="34">
        <v>331.64</v>
      </c>
      <c r="K268" s="34">
        <v>2032.5</v>
      </c>
      <c r="L268" s="33">
        <v>100138</v>
      </c>
      <c r="M268" s="34">
        <f t="shared" si="34"/>
        <v>16.513203883495148</v>
      </c>
      <c r="N268" s="27">
        <v>103</v>
      </c>
      <c r="O268" s="34">
        <f t="shared" si="28"/>
        <v>189.9018446601942</v>
      </c>
      <c r="P268" s="35">
        <f t="shared" si="32"/>
        <v>55.07</v>
      </c>
      <c r="Q268" s="40">
        <f t="shared" ref="Q268:Q289" si="35">O268*2</f>
        <v>379.8036893203884</v>
      </c>
      <c r="R268" s="35"/>
    </row>
    <row r="269" spans="1:18" x14ac:dyDescent="0.3">
      <c r="A269" s="32">
        <v>43511</v>
      </c>
      <c r="B269" s="33" t="s">
        <v>96</v>
      </c>
      <c r="C269" s="34">
        <v>1640</v>
      </c>
      <c r="D269" s="33">
        <v>80</v>
      </c>
      <c r="E269" s="35">
        <v>216.91</v>
      </c>
      <c r="F269" s="35">
        <v>1990</v>
      </c>
      <c r="G269" s="34">
        <v>216.91</v>
      </c>
      <c r="H269" s="34">
        <v>350</v>
      </c>
      <c r="I269" s="34">
        <v>2206.91</v>
      </c>
      <c r="J269" s="34">
        <v>379.93</v>
      </c>
      <c r="K269" s="34">
        <v>2586.84</v>
      </c>
      <c r="L269" s="33" t="s">
        <v>14</v>
      </c>
      <c r="M269" s="34">
        <f t="shared" si="34"/>
        <v>22.18</v>
      </c>
      <c r="N269" s="27">
        <v>99.5</v>
      </c>
      <c r="O269" s="34">
        <f t="shared" si="28"/>
        <v>216.255</v>
      </c>
      <c r="P269" s="35">
        <f t="shared" si="32"/>
        <v>60.55</v>
      </c>
      <c r="Q269" s="40">
        <f t="shared" si="35"/>
        <v>432.51</v>
      </c>
      <c r="R269" s="35"/>
    </row>
    <row r="270" spans="1:18" x14ac:dyDescent="0.3">
      <c r="A270" s="32">
        <v>43523</v>
      </c>
      <c r="B270" s="33" t="s">
        <v>96</v>
      </c>
      <c r="C270" s="34">
        <v>1280</v>
      </c>
      <c r="D270" s="36">
        <v>49</v>
      </c>
      <c r="E270" s="35"/>
      <c r="F270" s="35">
        <v>1280</v>
      </c>
      <c r="G270" s="34">
        <v>184.51</v>
      </c>
      <c r="H270" s="34">
        <v>0</v>
      </c>
      <c r="I270" s="34">
        <v>1464.51</v>
      </c>
      <c r="J270" s="34">
        <v>138.55000000000001</v>
      </c>
      <c r="K270" s="34">
        <v>1603.06</v>
      </c>
      <c r="L270" s="33" t="s">
        <v>14</v>
      </c>
      <c r="M270" s="34">
        <f t="shared" si="34"/>
        <v>19.393939393939394</v>
      </c>
      <c r="N270" s="27">
        <v>66</v>
      </c>
      <c r="O270" s="38">
        <f>(M270*0.5)*9</f>
        <v>87.27272727272728</v>
      </c>
      <c r="P270" s="35">
        <f t="shared" si="32"/>
        <v>24.44</v>
      </c>
      <c r="Q270" s="40">
        <f t="shared" si="35"/>
        <v>174.54545454545456</v>
      </c>
      <c r="R270" s="35"/>
    </row>
    <row r="271" spans="1:18" x14ac:dyDescent="0.3">
      <c r="A271" s="32">
        <v>43539</v>
      </c>
      <c r="B271" s="33" t="s">
        <v>96</v>
      </c>
      <c r="C271" s="34">
        <v>1870</v>
      </c>
      <c r="D271" s="33">
        <v>80</v>
      </c>
      <c r="E271" s="35">
        <v>812.7</v>
      </c>
      <c r="F271" s="35">
        <v>1440</v>
      </c>
      <c r="G271" s="34">
        <v>382.7</v>
      </c>
      <c r="H271" s="34">
        <v>0</v>
      </c>
      <c r="I271" s="34">
        <v>2252.6999999999998</v>
      </c>
      <c r="J271" s="34">
        <v>373.64</v>
      </c>
      <c r="K271" s="34">
        <v>2626.34</v>
      </c>
      <c r="L271" s="33" t="s">
        <v>14</v>
      </c>
      <c r="M271" s="34">
        <f t="shared" si="34"/>
        <v>24.093048128342243</v>
      </c>
      <c r="N271" s="27">
        <v>93.5</v>
      </c>
      <c r="O271" s="34">
        <f t="shared" si="28"/>
        <v>162.62807486631013</v>
      </c>
      <c r="P271" s="35">
        <f t="shared" si="32"/>
        <v>43.91</v>
      </c>
      <c r="Q271" s="40">
        <f t="shared" si="35"/>
        <v>325.25614973262026</v>
      </c>
      <c r="R271" s="35"/>
    </row>
    <row r="272" spans="1:18" x14ac:dyDescent="0.3">
      <c r="A272" s="32">
        <v>43553</v>
      </c>
      <c r="B272" s="33" t="s">
        <v>96</v>
      </c>
      <c r="C272" s="34">
        <v>1554</v>
      </c>
      <c r="D272" s="36">
        <v>46</v>
      </c>
      <c r="E272" s="35">
        <v>522.21</v>
      </c>
      <c r="F272" s="35">
        <v>1332</v>
      </c>
      <c r="G272" s="34">
        <v>300.20999999999998</v>
      </c>
      <c r="H272" s="34">
        <v>0</v>
      </c>
      <c r="I272" s="34">
        <v>1854.21</v>
      </c>
      <c r="J272" s="34">
        <v>323.91000000000003</v>
      </c>
      <c r="K272" s="34">
        <v>2178.12</v>
      </c>
      <c r="L272" s="33" t="s">
        <v>14</v>
      </c>
      <c r="M272" s="34">
        <f t="shared" si="34"/>
        <v>25.056891891891894</v>
      </c>
      <c r="N272" s="27">
        <v>74</v>
      </c>
      <c r="O272" s="38">
        <f>(M272*0.5)*6</f>
        <v>75.170675675675682</v>
      </c>
      <c r="P272" s="35">
        <f t="shared" si="32"/>
        <v>20.3</v>
      </c>
      <c r="Q272" s="40">
        <f t="shared" si="35"/>
        <v>150.34135135135136</v>
      </c>
      <c r="R272" s="35"/>
    </row>
    <row r="273" spans="1:18" x14ac:dyDescent="0.3">
      <c r="A273" s="32">
        <v>43567</v>
      </c>
      <c r="B273" s="33" t="s">
        <v>96</v>
      </c>
      <c r="C273" s="34">
        <v>1808</v>
      </c>
      <c r="D273" s="33">
        <v>80</v>
      </c>
      <c r="E273" s="35">
        <v>785.23</v>
      </c>
      <c r="F273" s="35">
        <v>1440</v>
      </c>
      <c r="G273" s="34">
        <v>377.23</v>
      </c>
      <c r="H273" s="34">
        <v>40</v>
      </c>
      <c r="I273" s="34">
        <v>2225.23</v>
      </c>
      <c r="J273" s="34">
        <v>371.05</v>
      </c>
      <c r="K273" s="34">
        <v>2596.2800000000002</v>
      </c>
      <c r="L273" s="33" t="s">
        <v>14</v>
      </c>
      <c r="M273" s="34">
        <f t="shared" si="34"/>
        <v>25.286704545454544</v>
      </c>
      <c r="N273" s="27">
        <v>88</v>
      </c>
      <c r="O273" s="34">
        <f t="shared" si="28"/>
        <v>101.14681818181818</v>
      </c>
      <c r="P273" s="35">
        <f t="shared" si="32"/>
        <v>27.31</v>
      </c>
      <c r="Q273" s="40">
        <f t="shared" si="35"/>
        <v>202.29363636363635</v>
      </c>
      <c r="R273" s="35"/>
    </row>
    <row r="274" spans="1:18" x14ac:dyDescent="0.3">
      <c r="A274" s="32">
        <v>43581</v>
      </c>
      <c r="B274" s="33" t="s">
        <v>96</v>
      </c>
      <c r="C274" s="34">
        <v>1838</v>
      </c>
      <c r="D274" s="33">
        <v>80</v>
      </c>
      <c r="E274" s="35">
        <v>785.21</v>
      </c>
      <c r="F274" s="35">
        <v>1440</v>
      </c>
      <c r="G274" s="34">
        <v>377.21</v>
      </c>
      <c r="H274" s="34">
        <v>10</v>
      </c>
      <c r="I274" s="34">
        <v>2225.21</v>
      </c>
      <c r="J274" s="34">
        <v>367.26</v>
      </c>
      <c r="K274" s="34">
        <v>2592.4699999999998</v>
      </c>
      <c r="L274" s="33" t="s">
        <v>14</v>
      </c>
      <c r="M274" s="34">
        <f t="shared" si="34"/>
        <v>25.286477272727272</v>
      </c>
      <c r="N274" s="27">
        <v>88</v>
      </c>
      <c r="O274" s="34">
        <f t="shared" si="28"/>
        <v>101.14590909090909</v>
      </c>
      <c r="P274" s="35">
        <f t="shared" si="32"/>
        <v>26.3</v>
      </c>
      <c r="Q274" s="40">
        <f t="shared" si="35"/>
        <v>202.29181818181817</v>
      </c>
      <c r="R274" s="35"/>
    </row>
    <row r="275" spans="1:18" x14ac:dyDescent="0.3">
      <c r="A275" s="32">
        <v>43595</v>
      </c>
      <c r="B275" s="33" t="s">
        <v>96</v>
      </c>
      <c r="C275" s="34">
        <v>1932</v>
      </c>
      <c r="D275" s="33">
        <v>80</v>
      </c>
      <c r="E275" s="35">
        <v>890.11</v>
      </c>
      <c r="F275" s="35">
        <v>1440</v>
      </c>
      <c r="G275" s="34">
        <v>398.11</v>
      </c>
      <c r="H275" s="34">
        <v>0</v>
      </c>
      <c r="I275" s="34">
        <v>2330.11</v>
      </c>
      <c r="J275" s="34">
        <v>377.01</v>
      </c>
      <c r="K275" s="34">
        <v>2707.12</v>
      </c>
      <c r="L275" s="33" t="s">
        <v>14</v>
      </c>
      <c r="M275" s="34">
        <f t="shared" si="34"/>
        <v>25.327282608695654</v>
      </c>
      <c r="N275" s="27">
        <v>92</v>
      </c>
      <c r="O275" s="34">
        <f t="shared" ref="O275:O351" si="36">((N275-80)*M275)*0.5</f>
        <v>151.96369565217393</v>
      </c>
      <c r="P275" s="35">
        <f t="shared" si="32"/>
        <v>39.51</v>
      </c>
      <c r="Q275" s="40">
        <f t="shared" si="35"/>
        <v>303.92739130434785</v>
      </c>
      <c r="R275" s="35"/>
    </row>
    <row r="276" spans="1:18" x14ac:dyDescent="0.3">
      <c r="A276" s="32">
        <v>43609</v>
      </c>
      <c r="B276" s="33" t="s">
        <v>96</v>
      </c>
      <c r="C276" s="34">
        <v>2151</v>
      </c>
      <c r="D276" s="33">
        <v>80</v>
      </c>
      <c r="E276" s="35">
        <v>1190.98</v>
      </c>
      <c r="F276" s="35">
        <v>1440</v>
      </c>
      <c r="G276" s="34">
        <v>457.98</v>
      </c>
      <c r="H276" s="34">
        <v>22</v>
      </c>
      <c r="I276" s="34">
        <v>2630.98</v>
      </c>
      <c r="J276" s="34">
        <v>404.97</v>
      </c>
      <c r="K276" s="34">
        <v>3035.95</v>
      </c>
      <c r="L276" s="33" t="s">
        <v>14</v>
      </c>
      <c r="M276" s="34">
        <f t="shared" si="34"/>
        <v>25.420096618357487</v>
      </c>
      <c r="N276" s="27">
        <v>103.5</v>
      </c>
      <c r="O276" s="34">
        <f t="shared" si="36"/>
        <v>298.6861352657005</v>
      </c>
      <c r="P276" s="35">
        <f t="shared" si="32"/>
        <v>74.67</v>
      </c>
      <c r="Q276" s="40">
        <f t="shared" si="35"/>
        <v>597.372270531401</v>
      </c>
      <c r="R276" s="35"/>
    </row>
    <row r="277" spans="1:18" x14ac:dyDescent="0.3">
      <c r="A277" s="32">
        <v>43623</v>
      </c>
      <c r="B277" s="33" t="s">
        <v>96</v>
      </c>
      <c r="C277" s="34">
        <v>1879</v>
      </c>
      <c r="D277" s="33">
        <v>80</v>
      </c>
      <c r="E277" s="35">
        <v>823.92</v>
      </c>
      <c r="F277" s="35">
        <v>1440</v>
      </c>
      <c r="G277" s="34">
        <v>384.92</v>
      </c>
      <c r="H277" s="34">
        <v>0</v>
      </c>
      <c r="I277" s="34">
        <v>2263.92</v>
      </c>
      <c r="J277" s="34">
        <v>370.84</v>
      </c>
      <c r="K277" s="34">
        <v>2634.76</v>
      </c>
      <c r="L277" s="33" t="s">
        <v>14</v>
      </c>
      <c r="M277" s="34">
        <f t="shared" si="34"/>
        <v>25.295195530726257</v>
      </c>
      <c r="N277" s="27">
        <v>89.5</v>
      </c>
      <c r="O277" s="34">
        <f t="shared" si="36"/>
        <v>120.15217877094972</v>
      </c>
      <c r="P277" s="35">
        <f t="shared" si="32"/>
        <v>30.04</v>
      </c>
      <c r="Q277" s="40">
        <f t="shared" si="35"/>
        <v>240.30435754189944</v>
      </c>
      <c r="R277" s="35"/>
    </row>
    <row r="278" spans="1:18" x14ac:dyDescent="0.3">
      <c r="A278" s="32">
        <v>43637</v>
      </c>
      <c r="B278" s="33" t="s">
        <v>96</v>
      </c>
      <c r="C278" s="34">
        <v>2320</v>
      </c>
      <c r="D278" s="33">
        <v>80</v>
      </c>
      <c r="E278" s="35">
        <v>1229.31</v>
      </c>
      <c r="F278" s="35">
        <v>1440</v>
      </c>
      <c r="G278" s="34">
        <v>349.31</v>
      </c>
      <c r="H278" s="34">
        <v>0</v>
      </c>
      <c r="I278" s="34">
        <v>2669.31</v>
      </c>
      <c r="J278" s="34">
        <v>408.53</v>
      </c>
      <c r="K278" s="34">
        <v>3077.84</v>
      </c>
      <c r="L278" s="33" t="s">
        <v>14</v>
      </c>
      <c r="M278" s="34">
        <f t="shared" si="34"/>
        <v>24.156651583710406</v>
      </c>
      <c r="N278" s="27">
        <v>110.5</v>
      </c>
      <c r="O278" s="34">
        <f t="shared" si="36"/>
        <v>368.38893665158372</v>
      </c>
      <c r="P278" s="35">
        <f t="shared" si="32"/>
        <v>88.41</v>
      </c>
      <c r="Q278" s="40">
        <f t="shared" si="35"/>
        <v>736.77787330316744</v>
      </c>
      <c r="R278" s="35"/>
    </row>
    <row r="279" spans="1:18" x14ac:dyDescent="0.3">
      <c r="A279" s="32">
        <v>43651</v>
      </c>
      <c r="B279" s="33" t="s">
        <v>96</v>
      </c>
      <c r="C279" s="34">
        <v>1785</v>
      </c>
      <c r="D279" s="33">
        <v>80</v>
      </c>
      <c r="E279" s="35">
        <v>224.31</v>
      </c>
      <c r="F279" s="35">
        <v>1760</v>
      </c>
      <c r="G279" s="34">
        <v>199.31</v>
      </c>
      <c r="H279" s="34">
        <v>0</v>
      </c>
      <c r="I279" s="34">
        <v>1984.31</v>
      </c>
      <c r="J279" s="34">
        <v>344.89</v>
      </c>
      <c r="K279" s="34">
        <v>2329.1999999999998</v>
      </c>
      <c r="L279" s="33" t="s">
        <v>14</v>
      </c>
      <c r="M279" s="34">
        <f t="shared" si="34"/>
        <v>23.344823529411762</v>
      </c>
      <c r="N279" s="27">
        <v>85</v>
      </c>
      <c r="O279" s="34">
        <f t="shared" si="36"/>
        <v>58.362058823529409</v>
      </c>
      <c r="P279" s="35">
        <f t="shared" si="32"/>
        <v>14.01</v>
      </c>
      <c r="Q279" s="40">
        <f t="shared" si="35"/>
        <v>116.72411764705882</v>
      </c>
      <c r="R279" s="35"/>
    </row>
    <row r="280" spans="1:18" x14ac:dyDescent="0.3">
      <c r="A280" s="32">
        <v>43665</v>
      </c>
      <c r="B280" s="33" t="s">
        <v>96</v>
      </c>
      <c r="C280" s="34">
        <v>1701</v>
      </c>
      <c r="D280" s="36">
        <v>49</v>
      </c>
      <c r="E280" s="35">
        <v>209.99</v>
      </c>
      <c r="F280" s="35">
        <v>1701</v>
      </c>
      <c r="G280" s="34">
        <v>209.99</v>
      </c>
      <c r="H280" s="34">
        <v>0</v>
      </c>
      <c r="I280" s="34">
        <v>1910.99</v>
      </c>
      <c r="J280" s="34">
        <v>338.06</v>
      </c>
      <c r="K280" s="34">
        <v>2249.0500000000002</v>
      </c>
      <c r="L280" s="33" t="s">
        <v>14</v>
      </c>
      <c r="M280" s="34">
        <f t="shared" si="34"/>
        <v>23.592469135802471</v>
      </c>
      <c r="N280" s="27">
        <v>81</v>
      </c>
      <c r="O280" s="38">
        <f>(M280*0.5)*9</f>
        <v>106.16611111111112</v>
      </c>
      <c r="P280" s="35">
        <f t="shared" si="32"/>
        <v>24.42</v>
      </c>
      <c r="Q280" s="40">
        <f t="shared" si="35"/>
        <v>212.33222222222224</v>
      </c>
      <c r="R280" s="35"/>
    </row>
    <row r="281" spans="1:18" x14ac:dyDescent="0.3">
      <c r="A281" s="32">
        <v>43679</v>
      </c>
      <c r="B281" s="33" t="s">
        <v>96</v>
      </c>
      <c r="C281" s="34">
        <v>2131</v>
      </c>
      <c r="D281" s="33">
        <v>80</v>
      </c>
      <c r="E281" s="35">
        <v>303.69</v>
      </c>
      <c r="F281" s="35">
        <v>2131</v>
      </c>
      <c r="G281" s="34">
        <v>303.75</v>
      </c>
      <c r="H281" s="34">
        <v>-0.06</v>
      </c>
      <c r="I281" s="34">
        <v>2434.69</v>
      </c>
      <c r="J281" s="34">
        <v>386.73</v>
      </c>
      <c r="K281" s="34">
        <v>2821.42</v>
      </c>
      <c r="L281" s="33" t="s">
        <v>14</v>
      </c>
      <c r="M281" s="34">
        <f t="shared" si="34"/>
        <v>23.987093596059115</v>
      </c>
      <c r="N281" s="27">
        <v>101.5</v>
      </c>
      <c r="O281" s="34">
        <f t="shared" si="36"/>
        <v>257.86125615763547</v>
      </c>
      <c r="P281" s="35">
        <f t="shared" si="32"/>
        <v>59.31</v>
      </c>
      <c r="Q281" s="40">
        <f t="shared" si="35"/>
        <v>515.72251231527093</v>
      </c>
      <c r="R281" s="35"/>
    </row>
    <row r="282" spans="1:18" x14ac:dyDescent="0.3">
      <c r="A282" s="32">
        <v>43693</v>
      </c>
      <c r="B282" s="33" t="s">
        <v>96</v>
      </c>
      <c r="C282" s="34">
        <v>2247</v>
      </c>
      <c r="D282" s="36">
        <v>51.5</v>
      </c>
      <c r="E282" s="35">
        <v>331.17</v>
      </c>
      <c r="F282" s="35">
        <v>2247</v>
      </c>
      <c r="G282" s="34">
        <v>331.17</v>
      </c>
      <c r="H282" s="34">
        <v>0</v>
      </c>
      <c r="I282" s="34">
        <v>2578.17</v>
      </c>
      <c r="J282" s="34">
        <v>400.06</v>
      </c>
      <c r="K282" s="34">
        <v>2978.23</v>
      </c>
      <c r="L282" s="33" t="s">
        <v>14</v>
      </c>
      <c r="M282" s="34">
        <f t="shared" si="34"/>
        <v>50.061553398058251</v>
      </c>
      <c r="N282" s="27">
        <v>51.5</v>
      </c>
      <c r="O282" s="38">
        <f>(M282*0.5)*11.5</f>
        <v>287.85393203883496</v>
      </c>
      <c r="P282" s="35">
        <f t="shared" si="32"/>
        <v>63.33</v>
      </c>
      <c r="Q282" s="40">
        <f t="shared" si="35"/>
        <v>575.70786407766991</v>
      </c>
      <c r="R282" s="35"/>
    </row>
    <row r="283" spans="1:18" x14ac:dyDescent="0.3">
      <c r="A283" s="32">
        <v>43707</v>
      </c>
      <c r="B283" s="33" t="s">
        <v>96</v>
      </c>
      <c r="C283" s="34">
        <v>2194.0100000000002</v>
      </c>
      <c r="D283" s="33">
        <v>80</v>
      </c>
      <c r="E283" s="35">
        <v>318</v>
      </c>
      <c r="F283" s="35">
        <v>2194</v>
      </c>
      <c r="G283" s="34">
        <v>317.99</v>
      </c>
      <c r="H283" s="34">
        <v>0</v>
      </c>
      <c r="I283" s="34">
        <v>2512</v>
      </c>
      <c r="J283" s="34">
        <v>393.9</v>
      </c>
      <c r="K283" s="34">
        <v>2905.9</v>
      </c>
      <c r="L283" s="33" t="s">
        <v>14</v>
      </c>
      <c r="M283" s="34">
        <f t="shared" si="34"/>
        <v>25.502538071065988</v>
      </c>
      <c r="N283" s="27">
        <v>98.5</v>
      </c>
      <c r="O283" s="34">
        <f t="shared" si="36"/>
        <v>235.89847715736039</v>
      </c>
      <c r="P283" s="35">
        <f t="shared" si="32"/>
        <v>51.9</v>
      </c>
      <c r="Q283" s="40">
        <f t="shared" si="35"/>
        <v>471.79695431472078</v>
      </c>
      <c r="R283" s="35"/>
    </row>
    <row r="284" spans="1:18" x14ac:dyDescent="0.3">
      <c r="A284" s="32">
        <v>43721</v>
      </c>
      <c r="B284" s="33" t="s">
        <v>96</v>
      </c>
      <c r="C284" s="34">
        <v>1850</v>
      </c>
      <c r="D284" s="36">
        <v>50</v>
      </c>
      <c r="E284" s="35">
        <v>242.49</v>
      </c>
      <c r="F284" s="35">
        <v>1850</v>
      </c>
      <c r="G284" s="34">
        <v>242.49</v>
      </c>
      <c r="H284" s="34">
        <v>0</v>
      </c>
      <c r="I284" s="34">
        <v>2092.4899999999998</v>
      </c>
      <c r="J284" s="34">
        <v>354.93</v>
      </c>
      <c r="K284" s="34">
        <v>2447.42</v>
      </c>
      <c r="L284" s="33" t="s">
        <v>14</v>
      </c>
      <c r="M284" s="34">
        <f t="shared" si="34"/>
        <v>41.849799999999995</v>
      </c>
      <c r="N284" s="27">
        <v>50</v>
      </c>
      <c r="O284" s="38">
        <f>(M284*0.5)*10</f>
        <v>209.24899999999997</v>
      </c>
      <c r="P284" s="35">
        <f t="shared" si="32"/>
        <v>43.94</v>
      </c>
      <c r="Q284" s="40">
        <f t="shared" si="35"/>
        <v>418.49799999999993</v>
      </c>
      <c r="R284" s="35"/>
    </row>
    <row r="285" spans="1:18" x14ac:dyDescent="0.3">
      <c r="A285" s="32">
        <v>43407</v>
      </c>
      <c r="B285" s="33" t="s">
        <v>97</v>
      </c>
      <c r="C285" s="34"/>
      <c r="D285" s="31">
        <v>32</v>
      </c>
      <c r="E285" s="35"/>
      <c r="F285" s="35"/>
      <c r="G285" s="34"/>
      <c r="H285" s="34"/>
      <c r="I285" s="34"/>
      <c r="J285" s="34"/>
      <c r="K285" s="34"/>
      <c r="L285" s="33"/>
      <c r="M285" s="38">
        <v>30</v>
      </c>
      <c r="N285" s="27">
        <v>32</v>
      </c>
      <c r="O285" s="50">
        <f>N285*M285</f>
        <v>960</v>
      </c>
      <c r="P285" s="35">
        <f t="shared" si="32"/>
        <v>307.2</v>
      </c>
      <c r="Q285" s="40">
        <f t="shared" si="35"/>
        <v>1920</v>
      </c>
      <c r="R285" s="35">
        <v>556.29999999999995</v>
      </c>
    </row>
    <row r="286" spans="1:18" x14ac:dyDescent="0.3">
      <c r="A286" s="32">
        <v>43427</v>
      </c>
      <c r="B286" s="33" t="s">
        <v>97</v>
      </c>
      <c r="C286" s="34">
        <v>1161</v>
      </c>
      <c r="D286" s="33">
        <v>80</v>
      </c>
      <c r="E286" s="35">
        <v>103.19</v>
      </c>
      <c r="F286" s="35">
        <v>1200</v>
      </c>
      <c r="G286" s="34">
        <v>142.19</v>
      </c>
      <c r="H286" s="34">
        <v>0</v>
      </c>
      <c r="I286" s="34">
        <v>1303.19</v>
      </c>
      <c r="J286" s="34">
        <v>291.64999999999998</v>
      </c>
      <c r="K286" s="34">
        <v>1594.84</v>
      </c>
      <c r="L286" s="33" t="s">
        <v>14</v>
      </c>
      <c r="M286" s="34">
        <f>(E286+F286)/N286</f>
        <v>13.574895833333334</v>
      </c>
      <c r="N286" s="27">
        <v>96</v>
      </c>
      <c r="O286" s="34">
        <f>((N286-80)*M286)*0.5</f>
        <v>108.59916666666668</v>
      </c>
      <c r="P286" s="35">
        <f t="shared" si="32"/>
        <v>33.67</v>
      </c>
      <c r="Q286" s="40">
        <f t="shared" si="35"/>
        <v>217.19833333333335</v>
      </c>
      <c r="R286" s="35"/>
    </row>
    <row r="287" spans="1:18" x14ac:dyDescent="0.3">
      <c r="A287" s="32">
        <v>43441</v>
      </c>
      <c r="B287" s="33" t="s">
        <v>97</v>
      </c>
      <c r="C287" s="34">
        <v>802</v>
      </c>
      <c r="D287" s="36">
        <v>45</v>
      </c>
      <c r="E287" s="35">
        <v>109.45</v>
      </c>
      <c r="F287" s="35">
        <v>1380</v>
      </c>
      <c r="G287" s="34">
        <v>247.45</v>
      </c>
      <c r="H287" s="34">
        <v>440</v>
      </c>
      <c r="I287" s="34">
        <v>1489.45</v>
      </c>
      <c r="J287" s="34">
        <v>288.29000000000002</v>
      </c>
      <c r="K287" s="34">
        <v>1777.74</v>
      </c>
      <c r="L287" s="33" t="s">
        <v>14</v>
      </c>
      <c r="M287" s="34">
        <f t="shared" si="34"/>
        <v>21.586231884057973</v>
      </c>
      <c r="N287" s="27">
        <v>69</v>
      </c>
      <c r="O287" s="38">
        <f>(M287*0.5)*5</f>
        <v>53.965579710144937</v>
      </c>
      <c r="P287" s="35">
        <f t="shared" si="32"/>
        <v>16.73</v>
      </c>
      <c r="Q287" s="40">
        <f t="shared" si="35"/>
        <v>107.93115942028987</v>
      </c>
      <c r="R287" s="35"/>
    </row>
    <row r="288" spans="1:18" x14ac:dyDescent="0.3">
      <c r="A288" s="32">
        <v>43455</v>
      </c>
      <c r="B288" s="33" t="s">
        <v>97</v>
      </c>
      <c r="C288" s="34">
        <v>1085</v>
      </c>
      <c r="D288" s="33">
        <v>80</v>
      </c>
      <c r="E288" s="35">
        <v>400.24</v>
      </c>
      <c r="F288" s="35">
        <v>1440</v>
      </c>
      <c r="G288" s="34">
        <v>322.24</v>
      </c>
      <c r="H288" s="34">
        <v>433</v>
      </c>
      <c r="I288" s="34">
        <v>1840.24</v>
      </c>
      <c r="J288" s="34">
        <v>345.68</v>
      </c>
      <c r="K288" s="34">
        <v>2185.92</v>
      </c>
      <c r="L288" s="33" t="s">
        <v>14</v>
      </c>
      <c r="M288" s="34">
        <f t="shared" si="34"/>
        <v>21.398139534883722</v>
      </c>
      <c r="N288" s="27">
        <v>86</v>
      </c>
      <c r="O288" s="34">
        <f t="shared" si="36"/>
        <v>64.194418604651162</v>
      </c>
      <c r="P288" s="35">
        <f t="shared" si="32"/>
        <v>19.260000000000002</v>
      </c>
      <c r="Q288" s="40">
        <f t="shared" si="35"/>
        <v>128.38883720930232</v>
      </c>
      <c r="R288" s="35"/>
    </row>
    <row r="289" spans="1:18" x14ac:dyDescent="0.3">
      <c r="A289" s="32">
        <v>43469</v>
      </c>
      <c r="B289" s="33" t="s">
        <v>97</v>
      </c>
      <c r="C289" s="34">
        <v>1054</v>
      </c>
      <c r="D289" s="36">
        <v>51</v>
      </c>
      <c r="E289" s="35">
        <v>374.48</v>
      </c>
      <c r="F289" s="35">
        <v>1440</v>
      </c>
      <c r="G289" s="34">
        <v>320.48</v>
      </c>
      <c r="H289" s="34">
        <v>440</v>
      </c>
      <c r="I289" s="34">
        <v>1814.48</v>
      </c>
      <c r="J289" s="34">
        <v>343.08</v>
      </c>
      <c r="K289" s="34">
        <v>2157.56</v>
      </c>
      <c r="L289" s="33" t="s">
        <v>14</v>
      </c>
      <c r="M289" s="34">
        <f t="shared" si="34"/>
        <v>21.861204819277109</v>
      </c>
      <c r="N289" s="27">
        <v>83</v>
      </c>
      <c r="O289" s="38">
        <f>(M289*0.5)*11</f>
        <v>120.23662650602409</v>
      </c>
      <c r="P289" s="35">
        <f t="shared" si="32"/>
        <v>36.07</v>
      </c>
      <c r="Q289" s="40">
        <f t="shared" si="35"/>
        <v>240.47325301204819</v>
      </c>
      <c r="R289" s="35"/>
    </row>
    <row r="290" spans="1:18" hidden="1" x14ac:dyDescent="0.3">
      <c r="A290" s="37" t="s">
        <v>77</v>
      </c>
      <c r="B290" s="33" t="s">
        <v>97</v>
      </c>
      <c r="C290" s="34">
        <v>136.26</v>
      </c>
      <c r="D290" s="33">
        <v>0</v>
      </c>
      <c r="E290" s="33"/>
      <c r="F290" s="33">
        <v>136.26</v>
      </c>
      <c r="G290" s="34">
        <v>11.68</v>
      </c>
      <c r="H290" s="34">
        <v>0</v>
      </c>
      <c r="I290" s="34">
        <v>147.94</v>
      </c>
      <c r="J290" s="34">
        <v>14.88</v>
      </c>
      <c r="K290" s="34">
        <v>162.82</v>
      </c>
      <c r="L290" s="33" t="s">
        <v>14</v>
      </c>
      <c r="M290" s="34" t="e">
        <f t="shared" si="34"/>
        <v>#DIV/0!</v>
      </c>
      <c r="N290" s="27"/>
      <c r="O290" s="34" t="e">
        <f t="shared" si="36"/>
        <v>#DIV/0!</v>
      </c>
      <c r="P290" s="35" t="e">
        <f t="shared" si="32"/>
        <v>#VALUE!</v>
      </c>
      <c r="Q290" s="34" t="e">
        <f t="shared" ref="Q290:Q348" si="37">O290*1.5</f>
        <v>#DIV/0!</v>
      </c>
      <c r="R290" s="35"/>
    </row>
    <row r="291" spans="1:18" hidden="1" x14ac:dyDescent="0.3">
      <c r="A291" s="37" t="s">
        <v>77</v>
      </c>
      <c r="B291" s="33" t="s">
        <v>97</v>
      </c>
      <c r="C291" s="34">
        <v>1399.74</v>
      </c>
      <c r="D291" s="33">
        <v>80</v>
      </c>
      <c r="E291" s="33">
        <v>126</v>
      </c>
      <c r="F291" s="33">
        <v>1440</v>
      </c>
      <c r="G291" s="34">
        <v>166.26</v>
      </c>
      <c r="H291" s="34">
        <v>0</v>
      </c>
      <c r="I291" s="34">
        <v>1566</v>
      </c>
      <c r="J291" s="34">
        <v>318.07</v>
      </c>
      <c r="K291" s="34">
        <v>1884.07</v>
      </c>
      <c r="L291" s="33" t="s">
        <v>14</v>
      </c>
      <c r="M291" s="34" t="e">
        <f t="shared" si="34"/>
        <v>#DIV/0!</v>
      </c>
      <c r="N291" s="27"/>
      <c r="O291" s="34" t="e">
        <f t="shared" si="36"/>
        <v>#DIV/0!</v>
      </c>
      <c r="P291" s="35" t="e">
        <f t="shared" si="32"/>
        <v>#VALUE!</v>
      </c>
      <c r="Q291" s="34" t="e">
        <f t="shared" si="37"/>
        <v>#DIV/0!</v>
      </c>
      <c r="R291" s="35"/>
    </row>
    <row r="292" spans="1:18" x14ac:dyDescent="0.3">
      <c r="A292" s="32">
        <v>43497</v>
      </c>
      <c r="B292" s="33" t="s">
        <v>97</v>
      </c>
      <c r="C292" s="34">
        <v>2152</v>
      </c>
      <c r="D292" s="33">
        <v>80</v>
      </c>
      <c r="E292" s="35">
        <v>1265.45</v>
      </c>
      <c r="F292" s="35">
        <v>1440</v>
      </c>
      <c r="G292" s="34">
        <v>553.45000000000005</v>
      </c>
      <c r="H292" s="34">
        <v>0</v>
      </c>
      <c r="I292" s="34">
        <v>2705.45</v>
      </c>
      <c r="J292" s="34">
        <v>432.71</v>
      </c>
      <c r="K292" s="34">
        <v>3138.16</v>
      </c>
      <c r="L292" s="33" t="s">
        <v>14</v>
      </c>
      <c r="M292" s="34">
        <f t="shared" si="34"/>
        <v>22.639748953974895</v>
      </c>
      <c r="N292" s="27">
        <v>119.5</v>
      </c>
      <c r="O292" s="34">
        <f t="shared" si="36"/>
        <v>447.13504184100418</v>
      </c>
      <c r="P292" s="35">
        <f t="shared" si="32"/>
        <v>129.66999999999999</v>
      </c>
      <c r="Q292" s="40">
        <f>O292*2</f>
        <v>894.27008368200836</v>
      </c>
      <c r="R292" s="35"/>
    </row>
    <row r="293" spans="1:18" hidden="1" x14ac:dyDescent="0.3">
      <c r="A293" s="37" t="s">
        <v>77</v>
      </c>
      <c r="B293" s="33" t="s">
        <v>97</v>
      </c>
      <c r="C293" s="34">
        <v>1743</v>
      </c>
      <c r="D293" s="33">
        <v>80</v>
      </c>
      <c r="E293" s="33">
        <v>195.71</v>
      </c>
      <c r="F293" s="33">
        <v>1743</v>
      </c>
      <c r="G293" s="34">
        <v>195.71</v>
      </c>
      <c r="H293" s="34">
        <v>0</v>
      </c>
      <c r="I293" s="34">
        <v>1938.71</v>
      </c>
      <c r="J293" s="34">
        <v>348.54</v>
      </c>
      <c r="K293" s="34">
        <v>2287.25</v>
      </c>
      <c r="L293" s="33" t="s">
        <v>14</v>
      </c>
      <c r="M293" s="34" t="e">
        <f t="shared" si="34"/>
        <v>#DIV/0!</v>
      </c>
      <c r="N293" s="27"/>
      <c r="O293" s="34" t="e">
        <f t="shared" si="36"/>
        <v>#DIV/0!</v>
      </c>
      <c r="P293" s="35" t="e">
        <f t="shared" ref="P293:P356" si="38">ROUND(((ROUNDDOWN(($W$1-A293)/30,0))/100)*O293,2)</f>
        <v>#VALUE!</v>
      </c>
      <c r="Q293" s="34" t="e">
        <f t="shared" si="37"/>
        <v>#DIV/0!</v>
      </c>
      <c r="R293" s="35"/>
    </row>
    <row r="294" spans="1:18" hidden="1" x14ac:dyDescent="0.3">
      <c r="A294" s="37" t="s">
        <v>77</v>
      </c>
      <c r="B294" s="33" t="s">
        <v>97</v>
      </c>
      <c r="C294" s="34">
        <v>1596</v>
      </c>
      <c r="D294" s="33">
        <v>80</v>
      </c>
      <c r="E294" s="33">
        <v>339.1</v>
      </c>
      <c r="F294" s="33">
        <v>1440</v>
      </c>
      <c r="G294" s="34">
        <v>183.1</v>
      </c>
      <c r="H294" s="34">
        <v>0</v>
      </c>
      <c r="I294" s="34">
        <v>1779.1</v>
      </c>
      <c r="J294" s="34">
        <v>328.85</v>
      </c>
      <c r="K294" s="34">
        <v>2107.9499999999998</v>
      </c>
      <c r="L294" s="33">
        <v>100164</v>
      </c>
      <c r="M294" s="34" t="e">
        <f t="shared" si="34"/>
        <v>#DIV/0!</v>
      </c>
      <c r="N294" s="27"/>
      <c r="O294" s="34" t="e">
        <f t="shared" si="36"/>
        <v>#DIV/0!</v>
      </c>
      <c r="P294" s="35" t="e">
        <f t="shared" si="38"/>
        <v>#VALUE!</v>
      </c>
      <c r="Q294" s="34" t="e">
        <f t="shared" si="37"/>
        <v>#DIV/0!</v>
      </c>
      <c r="R294" s="35"/>
    </row>
    <row r="295" spans="1:18" hidden="1" x14ac:dyDescent="0.3">
      <c r="A295" s="37" t="s">
        <v>77</v>
      </c>
      <c r="B295" s="33" t="s">
        <v>97</v>
      </c>
      <c r="C295" s="34">
        <v>2121</v>
      </c>
      <c r="D295" s="33">
        <v>80</v>
      </c>
      <c r="E295" s="33">
        <v>1221.24</v>
      </c>
      <c r="F295" s="33">
        <v>1440</v>
      </c>
      <c r="G295" s="34">
        <v>540.24</v>
      </c>
      <c r="H295" s="34">
        <v>0</v>
      </c>
      <c r="I295" s="34">
        <v>2661.24</v>
      </c>
      <c r="J295" s="34">
        <v>412.29</v>
      </c>
      <c r="K295" s="34">
        <v>3073.53</v>
      </c>
      <c r="L295" s="33" t="s">
        <v>14</v>
      </c>
      <c r="M295" s="34" t="e">
        <f t="shared" si="34"/>
        <v>#DIV/0!</v>
      </c>
      <c r="N295" s="27"/>
      <c r="O295" s="34" t="e">
        <f t="shared" si="36"/>
        <v>#DIV/0!</v>
      </c>
      <c r="P295" s="35" t="e">
        <f t="shared" si="38"/>
        <v>#VALUE!</v>
      </c>
      <c r="Q295" s="34" t="e">
        <f t="shared" si="37"/>
        <v>#DIV/0!</v>
      </c>
      <c r="R295" s="35"/>
    </row>
    <row r="296" spans="1:18" x14ac:dyDescent="0.3">
      <c r="A296" s="32">
        <v>43553</v>
      </c>
      <c r="B296" s="33" t="s">
        <v>97</v>
      </c>
      <c r="C296" s="34">
        <v>1344</v>
      </c>
      <c r="D296" s="30">
        <v>14</v>
      </c>
      <c r="E296" s="35">
        <v>464.59</v>
      </c>
      <c r="F296" s="35">
        <v>1152</v>
      </c>
      <c r="G296" s="34">
        <v>272.58999999999997</v>
      </c>
      <c r="H296" s="34">
        <v>0</v>
      </c>
      <c r="I296" s="34">
        <v>1616.59</v>
      </c>
      <c r="J296" s="34">
        <v>281.36</v>
      </c>
      <c r="K296" s="34">
        <v>1897.95</v>
      </c>
      <c r="L296" s="33" t="s">
        <v>14</v>
      </c>
      <c r="M296" s="34">
        <f t="shared" si="34"/>
        <v>115.47071428571428</v>
      </c>
      <c r="N296" s="53">
        <v>14</v>
      </c>
      <c r="O296" s="34">
        <v>0</v>
      </c>
      <c r="P296" s="35">
        <f t="shared" si="38"/>
        <v>0</v>
      </c>
      <c r="Q296" s="40">
        <f t="shared" ref="Q296:Q298" si="39">O296*2</f>
        <v>0</v>
      </c>
      <c r="R296" s="35"/>
    </row>
    <row r="297" spans="1:18" x14ac:dyDescent="0.3">
      <c r="A297" s="32">
        <v>43581</v>
      </c>
      <c r="B297" s="33" t="s">
        <v>97</v>
      </c>
      <c r="C297" s="34">
        <v>735</v>
      </c>
      <c r="D297" s="30">
        <v>35</v>
      </c>
      <c r="E297" s="35">
        <v>211.09</v>
      </c>
      <c r="F297" s="35">
        <v>630</v>
      </c>
      <c r="G297" s="34">
        <v>106.09</v>
      </c>
      <c r="H297" s="34">
        <v>0</v>
      </c>
      <c r="I297" s="34">
        <v>841.09</v>
      </c>
      <c r="J297" s="34">
        <v>148.37</v>
      </c>
      <c r="K297" s="34">
        <v>989.46</v>
      </c>
      <c r="L297" s="33" t="s">
        <v>14</v>
      </c>
      <c r="M297" s="34">
        <f t="shared" si="34"/>
        <v>24.031142857142857</v>
      </c>
      <c r="N297" s="27">
        <v>35</v>
      </c>
      <c r="O297" s="34">
        <v>0</v>
      </c>
      <c r="P297" s="35">
        <f t="shared" si="38"/>
        <v>0</v>
      </c>
      <c r="Q297" s="40">
        <f t="shared" si="39"/>
        <v>0</v>
      </c>
      <c r="R297" s="35"/>
    </row>
    <row r="298" spans="1:18" x14ac:dyDescent="0.3">
      <c r="A298" s="32">
        <v>43595</v>
      </c>
      <c r="B298" s="33" t="s">
        <v>97</v>
      </c>
      <c r="C298" s="34">
        <v>2488</v>
      </c>
      <c r="D298" s="36">
        <v>68.5</v>
      </c>
      <c r="E298" s="35">
        <v>2520.6799999999998</v>
      </c>
      <c r="F298" s="35">
        <v>630</v>
      </c>
      <c r="G298" s="34">
        <v>662.68</v>
      </c>
      <c r="H298" s="34">
        <v>0</v>
      </c>
      <c r="I298" s="34">
        <v>3150.68</v>
      </c>
      <c r="J298" s="34">
        <v>362.93</v>
      </c>
      <c r="K298" s="34">
        <v>3513.61</v>
      </c>
      <c r="L298" s="33" t="s">
        <v>14</v>
      </c>
      <c r="M298" s="34">
        <f t="shared" si="34"/>
        <v>45.995328467153286</v>
      </c>
      <c r="N298" s="27">
        <v>68.5</v>
      </c>
      <c r="O298" s="38">
        <f>(M298*0.5)*18.5</f>
        <v>425.45678832116789</v>
      </c>
      <c r="P298" s="35">
        <f>ROUND(((ROUNDDOWN(($W$1-A298)/30,0))/100)*O298,2)</f>
        <v>110.62</v>
      </c>
      <c r="Q298" s="40">
        <f t="shared" si="39"/>
        <v>850.91357664233578</v>
      </c>
      <c r="R298" s="35"/>
    </row>
    <row r="299" spans="1:18" hidden="1" x14ac:dyDescent="0.3">
      <c r="A299" s="37" t="s">
        <v>77</v>
      </c>
      <c r="B299" s="33" t="s">
        <v>97</v>
      </c>
      <c r="C299" s="34">
        <v>2291</v>
      </c>
      <c r="D299" s="33">
        <v>80</v>
      </c>
      <c r="E299" s="33">
        <v>1535.07</v>
      </c>
      <c r="F299" s="33">
        <v>1440</v>
      </c>
      <c r="G299" s="34">
        <v>634.07000000000005</v>
      </c>
      <c r="H299" s="34">
        <v>50</v>
      </c>
      <c r="I299" s="34">
        <v>2975.07</v>
      </c>
      <c r="J299" s="34">
        <v>436.92</v>
      </c>
      <c r="K299" s="34">
        <v>3411.99</v>
      </c>
      <c r="L299" s="33" t="s">
        <v>14</v>
      </c>
      <c r="M299" s="34" t="e">
        <f t="shared" si="34"/>
        <v>#DIV/0!</v>
      </c>
      <c r="N299" s="27"/>
      <c r="O299" s="34" t="e">
        <f t="shared" si="36"/>
        <v>#DIV/0!</v>
      </c>
      <c r="P299" s="35" t="e">
        <f t="shared" si="38"/>
        <v>#VALUE!</v>
      </c>
      <c r="Q299" s="34" t="e">
        <f t="shared" si="37"/>
        <v>#DIV/0!</v>
      </c>
      <c r="R299" s="35"/>
    </row>
    <row r="300" spans="1:18" hidden="1" x14ac:dyDescent="0.3">
      <c r="A300" s="37" t="s">
        <v>77</v>
      </c>
      <c r="B300" s="33" t="s">
        <v>97</v>
      </c>
      <c r="C300" s="34">
        <v>1933</v>
      </c>
      <c r="D300" s="33">
        <v>80</v>
      </c>
      <c r="E300" s="33">
        <v>995.81</v>
      </c>
      <c r="F300" s="33">
        <v>1440</v>
      </c>
      <c r="G300" s="34">
        <v>472.81</v>
      </c>
      <c r="H300" s="34">
        <v>30</v>
      </c>
      <c r="I300" s="34">
        <v>2435.81</v>
      </c>
      <c r="J300" s="34">
        <v>386.83</v>
      </c>
      <c r="K300" s="34">
        <v>2822.64</v>
      </c>
      <c r="L300" s="33" t="s">
        <v>14</v>
      </c>
      <c r="M300" s="34" t="e">
        <f t="shared" si="34"/>
        <v>#DIV/0!</v>
      </c>
      <c r="N300" s="27"/>
      <c r="O300" s="34" t="e">
        <f t="shared" si="36"/>
        <v>#DIV/0!</v>
      </c>
      <c r="P300" s="35" t="e">
        <f t="shared" si="38"/>
        <v>#VALUE!</v>
      </c>
      <c r="Q300" s="34" t="e">
        <f t="shared" si="37"/>
        <v>#DIV/0!</v>
      </c>
      <c r="R300" s="35"/>
    </row>
    <row r="301" spans="1:18" x14ac:dyDescent="0.3">
      <c r="A301" s="32">
        <v>43637</v>
      </c>
      <c r="B301" s="33" t="s">
        <v>97</v>
      </c>
      <c r="C301" s="34">
        <v>2206</v>
      </c>
      <c r="D301" s="36">
        <v>50</v>
      </c>
      <c r="E301" s="35">
        <v>1111.94</v>
      </c>
      <c r="F301" s="35">
        <v>1440</v>
      </c>
      <c r="G301" s="34">
        <v>325.94</v>
      </c>
      <c r="H301" s="34">
        <v>20</v>
      </c>
      <c r="I301" s="34">
        <v>2551.94</v>
      </c>
      <c r="J301" s="34">
        <v>397.61</v>
      </c>
      <c r="K301" s="34">
        <v>2949.55</v>
      </c>
      <c r="L301" s="33" t="s">
        <v>14</v>
      </c>
      <c r="M301" s="34">
        <f t="shared" si="34"/>
        <v>43.99896551724138</v>
      </c>
      <c r="N301" s="27">
        <v>58</v>
      </c>
      <c r="O301" s="38">
        <f>(M301*0.5)*10</f>
        <v>219.9948275862069</v>
      </c>
      <c r="P301" s="35">
        <f t="shared" si="38"/>
        <v>52.8</v>
      </c>
      <c r="Q301" s="40">
        <f t="shared" ref="Q301:Q337" si="40">O301*2</f>
        <v>439.98965517241379</v>
      </c>
      <c r="R301" s="35"/>
    </row>
    <row r="302" spans="1:18" x14ac:dyDescent="0.3">
      <c r="A302" s="32">
        <v>43651</v>
      </c>
      <c r="B302" s="33" t="s">
        <v>97</v>
      </c>
      <c r="C302" s="34">
        <v>1765</v>
      </c>
      <c r="D302" s="33">
        <v>80</v>
      </c>
      <c r="E302" s="35">
        <v>425.5</v>
      </c>
      <c r="F302" s="35">
        <v>1600</v>
      </c>
      <c r="G302" s="34">
        <v>230.5</v>
      </c>
      <c r="H302" s="34">
        <v>30</v>
      </c>
      <c r="I302" s="34">
        <v>2025.5</v>
      </c>
      <c r="J302" s="34">
        <v>348.72</v>
      </c>
      <c r="K302" s="34">
        <v>2374.2199999999998</v>
      </c>
      <c r="L302" s="33" t="s">
        <v>14</v>
      </c>
      <c r="M302" s="34">
        <f t="shared" si="34"/>
        <v>23.690058479532162</v>
      </c>
      <c r="N302" s="27">
        <v>85.5</v>
      </c>
      <c r="O302" s="34">
        <f t="shared" si="36"/>
        <v>65.147660818713447</v>
      </c>
      <c r="P302" s="35">
        <f t="shared" si="38"/>
        <v>15.64</v>
      </c>
      <c r="Q302" s="40">
        <f t="shared" si="40"/>
        <v>130.29532163742689</v>
      </c>
      <c r="R302" s="35"/>
    </row>
    <row r="303" spans="1:18" x14ac:dyDescent="0.3">
      <c r="A303" s="32">
        <v>43665</v>
      </c>
      <c r="B303" s="33" t="s">
        <v>97</v>
      </c>
      <c r="C303" s="34">
        <v>1279</v>
      </c>
      <c r="D303" s="30">
        <v>64</v>
      </c>
      <c r="E303" s="35">
        <v>161.46</v>
      </c>
      <c r="F303" s="35">
        <v>1344</v>
      </c>
      <c r="G303" s="34">
        <v>161.46</v>
      </c>
      <c r="H303" s="34">
        <v>65</v>
      </c>
      <c r="I303" s="34">
        <v>1505.46</v>
      </c>
      <c r="J303" s="34">
        <v>300.39</v>
      </c>
      <c r="K303" s="34">
        <v>1805.85</v>
      </c>
      <c r="L303" s="33" t="s">
        <v>14</v>
      </c>
      <c r="M303" s="34">
        <f t="shared" si="34"/>
        <v>23.522812500000001</v>
      </c>
      <c r="N303" s="27">
        <v>64</v>
      </c>
      <c r="O303" s="34">
        <v>0</v>
      </c>
      <c r="P303" s="35">
        <f t="shared" si="38"/>
        <v>0</v>
      </c>
      <c r="Q303" s="40">
        <f t="shared" si="40"/>
        <v>0</v>
      </c>
      <c r="R303" s="35"/>
    </row>
    <row r="304" spans="1:18" x14ac:dyDescent="0.3">
      <c r="A304" s="32">
        <v>43679</v>
      </c>
      <c r="B304" s="33" t="s">
        <v>97</v>
      </c>
      <c r="C304" s="34">
        <v>2123</v>
      </c>
      <c r="D304" s="33">
        <v>80</v>
      </c>
      <c r="E304" s="35">
        <v>312.87</v>
      </c>
      <c r="F304" s="35">
        <v>2173</v>
      </c>
      <c r="G304" s="34">
        <v>312.92</v>
      </c>
      <c r="H304" s="34">
        <v>49.95</v>
      </c>
      <c r="I304" s="34">
        <v>2485.87</v>
      </c>
      <c r="J304" s="34">
        <v>391.48</v>
      </c>
      <c r="K304" s="34">
        <v>2877.35</v>
      </c>
      <c r="L304" s="33" t="s">
        <v>14</v>
      </c>
      <c r="M304" s="34">
        <f t="shared" si="34"/>
        <v>24.01806763285024</v>
      </c>
      <c r="N304" s="27">
        <v>103.5</v>
      </c>
      <c r="O304" s="34">
        <f t="shared" si="36"/>
        <v>282.21229468599034</v>
      </c>
      <c r="P304" s="35">
        <f t="shared" si="38"/>
        <v>64.91</v>
      </c>
      <c r="Q304" s="40">
        <f t="shared" si="40"/>
        <v>564.42458937198069</v>
      </c>
      <c r="R304" s="35"/>
    </row>
    <row r="305" spans="1:18" x14ac:dyDescent="0.3">
      <c r="A305" s="32">
        <v>43693</v>
      </c>
      <c r="B305" s="33" t="s">
        <v>97</v>
      </c>
      <c r="C305" s="34">
        <v>2102</v>
      </c>
      <c r="D305" s="33">
        <v>80</v>
      </c>
      <c r="E305" s="35">
        <v>308.35000000000002</v>
      </c>
      <c r="F305" s="35">
        <v>2152</v>
      </c>
      <c r="G305" s="34">
        <v>308.35000000000002</v>
      </c>
      <c r="H305" s="34">
        <v>50</v>
      </c>
      <c r="I305" s="34">
        <v>2460.35</v>
      </c>
      <c r="J305" s="34">
        <v>389.11</v>
      </c>
      <c r="K305" s="34">
        <v>2849.46</v>
      </c>
      <c r="L305" s="33" t="s">
        <v>14</v>
      </c>
      <c r="M305" s="34">
        <f t="shared" si="34"/>
        <v>24.003414634146342</v>
      </c>
      <c r="N305" s="27">
        <v>102.5</v>
      </c>
      <c r="O305" s="34">
        <f t="shared" si="36"/>
        <v>270.03841463414636</v>
      </c>
      <c r="P305" s="35">
        <f t="shared" si="38"/>
        <v>59.41</v>
      </c>
      <c r="Q305" s="40">
        <f t="shared" si="40"/>
        <v>540.07682926829273</v>
      </c>
      <c r="R305" s="35"/>
    </row>
    <row r="306" spans="1:18" x14ac:dyDescent="0.3">
      <c r="A306" s="32">
        <v>43707</v>
      </c>
      <c r="B306" s="33" t="s">
        <v>97</v>
      </c>
      <c r="C306" s="34">
        <v>2333</v>
      </c>
      <c r="D306" s="33">
        <v>80</v>
      </c>
      <c r="E306" s="35">
        <v>364.94</v>
      </c>
      <c r="F306" s="35">
        <v>2383</v>
      </c>
      <c r="G306" s="34">
        <v>364.94</v>
      </c>
      <c r="H306" s="34">
        <v>50</v>
      </c>
      <c r="I306" s="34">
        <v>2747.94</v>
      </c>
      <c r="J306" s="34">
        <v>415.82</v>
      </c>
      <c r="K306" s="34">
        <v>3163.76</v>
      </c>
      <c r="L306" s="33" t="s">
        <v>14</v>
      </c>
      <c r="M306" s="34">
        <f t="shared" si="34"/>
        <v>24.210925110132159</v>
      </c>
      <c r="N306" s="27">
        <v>113.5</v>
      </c>
      <c r="O306" s="34">
        <f t="shared" si="36"/>
        <v>405.53299559471367</v>
      </c>
      <c r="P306" s="35">
        <f t="shared" si="38"/>
        <v>89.22</v>
      </c>
      <c r="Q306" s="40">
        <f t="shared" si="40"/>
        <v>811.06599118942734</v>
      </c>
      <c r="R306" s="35"/>
    </row>
    <row r="307" spans="1:18" x14ac:dyDescent="0.3">
      <c r="A307" s="32">
        <v>43721</v>
      </c>
      <c r="B307" s="33" t="s">
        <v>97</v>
      </c>
      <c r="C307" s="34">
        <v>1848</v>
      </c>
      <c r="D307" s="36">
        <v>50</v>
      </c>
      <c r="E307" s="35">
        <v>242.07</v>
      </c>
      <c r="F307" s="35">
        <v>1848</v>
      </c>
      <c r="G307" s="34">
        <v>242.07</v>
      </c>
      <c r="H307" s="34">
        <v>0</v>
      </c>
      <c r="I307" s="34">
        <v>2090.0700000000002</v>
      </c>
      <c r="J307" s="34">
        <v>354.72</v>
      </c>
      <c r="K307" s="34">
        <v>2444.79</v>
      </c>
      <c r="L307" s="33" t="s">
        <v>14</v>
      </c>
      <c r="M307" s="34">
        <f t="shared" si="34"/>
        <v>23.483932584269663</v>
      </c>
      <c r="N307" s="27">
        <v>89</v>
      </c>
      <c r="O307" s="38">
        <f>(M307*0.5)*10</f>
        <v>117.41966292134832</v>
      </c>
      <c r="P307" s="35">
        <f t="shared" si="38"/>
        <v>24.66</v>
      </c>
      <c r="Q307" s="40">
        <f t="shared" si="40"/>
        <v>234.83932584269664</v>
      </c>
      <c r="R307" s="35"/>
    </row>
    <row r="308" spans="1:18" x14ac:dyDescent="0.3">
      <c r="A308" s="32">
        <v>43735</v>
      </c>
      <c r="B308" s="33" t="s">
        <v>97</v>
      </c>
      <c r="C308" s="34">
        <v>1870</v>
      </c>
      <c r="D308" s="36">
        <v>47</v>
      </c>
      <c r="E308" s="35">
        <v>246.85</v>
      </c>
      <c r="F308" s="35">
        <v>1870</v>
      </c>
      <c r="G308" s="34">
        <v>246.85</v>
      </c>
      <c r="H308" s="34">
        <v>0</v>
      </c>
      <c r="I308" s="34">
        <v>2116.85</v>
      </c>
      <c r="J308" s="34">
        <v>357.18</v>
      </c>
      <c r="K308" s="34">
        <v>2474.0300000000002</v>
      </c>
      <c r="L308" s="33" t="s">
        <v>14</v>
      </c>
      <c r="M308" s="34">
        <f t="shared" si="34"/>
        <v>24.904117647058822</v>
      </c>
      <c r="N308" s="27">
        <v>85</v>
      </c>
      <c r="O308" s="38">
        <f>(M308*0.5)*7</f>
        <v>87.164411764705875</v>
      </c>
      <c r="P308" s="35">
        <f t="shared" si="38"/>
        <v>18.3</v>
      </c>
      <c r="Q308" s="40">
        <f t="shared" si="40"/>
        <v>174.32882352941175</v>
      </c>
      <c r="R308" s="35"/>
    </row>
    <row r="309" spans="1:18" x14ac:dyDescent="0.3">
      <c r="A309" s="32">
        <v>43749</v>
      </c>
      <c r="B309" s="33" t="s">
        <v>97</v>
      </c>
      <c r="C309" s="34">
        <v>1702</v>
      </c>
      <c r="D309" s="36">
        <v>55.5</v>
      </c>
      <c r="E309" s="35">
        <v>227.66</v>
      </c>
      <c r="F309" s="35">
        <v>1782</v>
      </c>
      <c r="G309" s="34">
        <v>227.66</v>
      </c>
      <c r="H309" s="34">
        <v>80</v>
      </c>
      <c r="I309" s="34">
        <v>2009.66</v>
      </c>
      <c r="J309" s="34">
        <v>347.24</v>
      </c>
      <c r="K309" s="34">
        <v>2356.9</v>
      </c>
      <c r="L309" s="33" t="s">
        <v>14</v>
      </c>
      <c r="M309" s="34">
        <f t="shared" si="34"/>
        <v>24.658404907975463</v>
      </c>
      <c r="N309" s="27">
        <v>81.5</v>
      </c>
      <c r="O309" s="38">
        <f>(M309*0.5)*15.5</f>
        <v>191.10263803680985</v>
      </c>
      <c r="P309" s="35">
        <f t="shared" si="38"/>
        <v>38.22</v>
      </c>
      <c r="Q309" s="40">
        <f t="shared" si="40"/>
        <v>382.2052760736197</v>
      </c>
      <c r="R309" s="35"/>
    </row>
    <row r="310" spans="1:18" x14ac:dyDescent="0.3">
      <c r="A310" s="32">
        <v>43763</v>
      </c>
      <c r="B310" s="33" t="s">
        <v>97</v>
      </c>
      <c r="C310" s="34">
        <v>2008</v>
      </c>
      <c r="D310" s="33">
        <v>80</v>
      </c>
      <c r="E310" s="35">
        <v>287.86</v>
      </c>
      <c r="F310" s="35">
        <v>2058</v>
      </c>
      <c r="G310" s="42">
        <v>287.86</v>
      </c>
      <c r="H310" s="34">
        <v>50</v>
      </c>
      <c r="I310" s="42">
        <v>2345.86</v>
      </c>
      <c r="J310" s="34">
        <v>378.47</v>
      </c>
      <c r="K310" s="34">
        <v>2724.33</v>
      </c>
      <c r="L310" s="33" t="s">
        <v>14</v>
      </c>
      <c r="M310" s="34">
        <f t="shared" si="34"/>
        <v>26.210726256983243</v>
      </c>
      <c r="N310" s="27">
        <v>89.5</v>
      </c>
      <c r="O310" s="34">
        <f t="shared" si="36"/>
        <v>124.50094972067041</v>
      </c>
      <c r="P310" s="35">
        <f t="shared" si="38"/>
        <v>24.9</v>
      </c>
      <c r="Q310" s="40">
        <f t="shared" si="40"/>
        <v>249.00189944134081</v>
      </c>
      <c r="R310" s="35"/>
    </row>
    <row r="311" spans="1:18" x14ac:dyDescent="0.3">
      <c r="A311" s="32">
        <v>43777</v>
      </c>
      <c r="B311" s="33" t="s">
        <v>97</v>
      </c>
      <c r="C311" s="34">
        <v>2169</v>
      </c>
      <c r="D311" s="33">
        <v>80</v>
      </c>
      <c r="E311" s="35">
        <v>324</v>
      </c>
      <c r="F311" s="35">
        <v>2219</v>
      </c>
      <c r="G311" s="34">
        <v>324.2</v>
      </c>
      <c r="H311" s="34">
        <v>50</v>
      </c>
      <c r="I311" s="34">
        <v>2543.1999999999998</v>
      </c>
      <c r="J311" s="34">
        <v>396.81</v>
      </c>
      <c r="K311" s="34">
        <v>2940.01</v>
      </c>
      <c r="L311" s="33" t="s">
        <v>14</v>
      </c>
      <c r="M311" s="34">
        <f t="shared" si="34"/>
        <v>26.352331606217618</v>
      </c>
      <c r="N311" s="27">
        <v>96.5</v>
      </c>
      <c r="O311" s="34">
        <f t="shared" si="36"/>
        <v>217.40673575129534</v>
      </c>
      <c r="P311" s="35">
        <f t="shared" si="38"/>
        <v>43.48</v>
      </c>
      <c r="Q311" s="40">
        <f t="shared" si="40"/>
        <v>434.81347150259069</v>
      </c>
      <c r="R311" s="35"/>
    </row>
    <row r="312" spans="1:18" x14ac:dyDescent="0.3">
      <c r="A312" s="32">
        <v>43791</v>
      </c>
      <c r="B312" s="33" t="s">
        <v>97</v>
      </c>
      <c r="C312" s="34">
        <v>440</v>
      </c>
      <c r="D312" s="30">
        <v>20</v>
      </c>
      <c r="E312" s="35">
        <v>49.29</v>
      </c>
      <c r="F312" s="35">
        <v>440</v>
      </c>
      <c r="G312" s="34">
        <v>49.29</v>
      </c>
      <c r="H312" s="34">
        <v>0</v>
      </c>
      <c r="I312" s="34">
        <v>489.29</v>
      </c>
      <c r="J312" s="34">
        <v>85.59</v>
      </c>
      <c r="K312" s="34">
        <v>574.88</v>
      </c>
      <c r="L312" s="33" t="s">
        <v>14</v>
      </c>
      <c r="M312" s="34">
        <f t="shared" ref="M312:M403" si="41">(E312+F312)/N312</f>
        <v>24.464500000000001</v>
      </c>
      <c r="N312" s="27">
        <v>20</v>
      </c>
      <c r="O312" s="34">
        <v>0</v>
      </c>
      <c r="P312" s="35">
        <f t="shared" si="38"/>
        <v>0</v>
      </c>
      <c r="Q312" s="40">
        <f t="shared" si="40"/>
        <v>0</v>
      </c>
      <c r="R312" s="35"/>
    </row>
    <row r="313" spans="1:18" x14ac:dyDescent="0.3">
      <c r="A313" s="37">
        <v>43869</v>
      </c>
      <c r="B313" s="36" t="s">
        <v>98</v>
      </c>
      <c r="C313" s="34"/>
      <c r="D313" s="31">
        <v>78</v>
      </c>
      <c r="E313" s="35"/>
      <c r="F313" s="35"/>
      <c r="G313" s="34"/>
      <c r="H313" s="34"/>
      <c r="I313" s="34"/>
      <c r="J313" s="34"/>
      <c r="K313" s="34"/>
      <c r="L313" s="33"/>
      <c r="M313" s="38">
        <v>26.26</v>
      </c>
      <c r="N313" s="30">
        <v>78</v>
      </c>
      <c r="O313" s="50">
        <f>(M313*65)+(M313*1.5)*13</f>
        <v>2218.9700000000003</v>
      </c>
      <c r="P313" s="35">
        <f t="shared" si="38"/>
        <v>355.04</v>
      </c>
      <c r="Q313" s="40">
        <f t="shared" si="40"/>
        <v>4437.9400000000005</v>
      </c>
      <c r="R313" s="35">
        <v>556.29999999999995</v>
      </c>
    </row>
    <row r="314" spans="1:18" x14ac:dyDescent="0.3">
      <c r="A314" s="37">
        <v>43883</v>
      </c>
      <c r="B314" s="36" t="s">
        <v>98</v>
      </c>
      <c r="C314" s="34"/>
      <c r="D314" s="31">
        <v>49.5</v>
      </c>
      <c r="E314" s="35"/>
      <c r="F314" s="35"/>
      <c r="G314" s="34"/>
      <c r="H314" s="34"/>
      <c r="I314" s="34"/>
      <c r="J314" s="34"/>
      <c r="K314" s="34"/>
      <c r="L314" s="33"/>
      <c r="M314" s="38">
        <v>26.26</v>
      </c>
      <c r="N314" s="30">
        <v>49.5</v>
      </c>
      <c r="O314" s="50">
        <f>(M314*40)+((M314*1.5)*9.5)</f>
        <v>1424.605</v>
      </c>
      <c r="P314" s="35">
        <f t="shared" si="38"/>
        <v>227.94</v>
      </c>
      <c r="Q314" s="40">
        <f t="shared" si="40"/>
        <v>2849.21</v>
      </c>
      <c r="R314" s="35"/>
    </row>
    <row r="315" spans="1:18" x14ac:dyDescent="0.3">
      <c r="A315" s="37">
        <v>43897</v>
      </c>
      <c r="B315" s="36" t="s">
        <v>98</v>
      </c>
      <c r="C315" s="34"/>
      <c r="D315" s="31">
        <v>92</v>
      </c>
      <c r="E315" s="35"/>
      <c r="F315" s="35"/>
      <c r="G315" s="34"/>
      <c r="H315" s="34"/>
      <c r="I315" s="34"/>
      <c r="J315" s="34"/>
      <c r="K315" s="34"/>
      <c r="L315" s="33"/>
      <c r="M315" s="38">
        <v>26.26</v>
      </c>
      <c r="N315" s="30">
        <v>92</v>
      </c>
      <c r="O315" s="50">
        <f>(M315*80)+(N315-80)*(M315*1.5)</f>
        <v>2573.48</v>
      </c>
      <c r="P315" s="35">
        <f t="shared" si="38"/>
        <v>411.76</v>
      </c>
      <c r="Q315" s="40">
        <f t="shared" si="40"/>
        <v>5146.96</v>
      </c>
      <c r="R315" s="35"/>
    </row>
    <row r="316" spans="1:18" x14ac:dyDescent="0.3">
      <c r="A316" s="37">
        <v>43910</v>
      </c>
      <c r="B316" s="36" t="s">
        <v>98</v>
      </c>
      <c r="C316" s="34"/>
      <c r="D316" s="31">
        <v>79.5</v>
      </c>
      <c r="E316" s="35"/>
      <c r="F316" s="35"/>
      <c r="G316" s="34"/>
      <c r="H316" s="34"/>
      <c r="I316" s="34"/>
      <c r="J316" s="34"/>
      <c r="K316" s="34"/>
      <c r="L316" s="33"/>
      <c r="M316" s="38">
        <v>26.26</v>
      </c>
      <c r="N316" s="30">
        <v>79.5</v>
      </c>
      <c r="O316" s="50">
        <f>N316*M316</f>
        <v>2087.67</v>
      </c>
      <c r="P316" s="35">
        <f t="shared" si="38"/>
        <v>313.14999999999998</v>
      </c>
      <c r="Q316" s="40">
        <f t="shared" si="40"/>
        <v>4175.34</v>
      </c>
      <c r="R316" s="35"/>
    </row>
    <row r="317" spans="1:18" x14ac:dyDescent="0.3">
      <c r="A317" s="37">
        <v>43911</v>
      </c>
      <c r="B317" s="36" t="s">
        <v>98</v>
      </c>
      <c r="C317" s="34"/>
      <c r="D317" s="31">
        <v>44.5</v>
      </c>
      <c r="E317" s="35"/>
      <c r="F317" s="35"/>
      <c r="G317" s="34"/>
      <c r="H317" s="34"/>
      <c r="I317" s="34"/>
      <c r="J317" s="34"/>
      <c r="K317" s="34"/>
      <c r="L317" s="33"/>
      <c r="M317" s="38">
        <v>26.26</v>
      </c>
      <c r="N317" s="30">
        <v>44.5</v>
      </c>
      <c r="O317" s="50">
        <f>(M317*40)+((M317*1.5)*4.5)</f>
        <v>1227.6550000000002</v>
      </c>
      <c r="P317" s="35">
        <f t="shared" si="38"/>
        <v>184.15</v>
      </c>
      <c r="Q317" s="40">
        <f t="shared" si="40"/>
        <v>2455.3100000000004</v>
      </c>
      <c r="R317" s="35"/>
    </row>
    <row r="318" spans="1:18" x14ac:dyDescent="0.3">
      <c r="A318" s="37">
        <v>43915</v>
      </c>
      <c r="B318" s="36" t="s">
        <v>98</v>
      </c>
      <c r="C318" s="34"/>
      <c r="D318" s="31">
        <v>24</v>
      </c>
      <c r="E318" s="35"/>
      <c r="F318" s="35"/>
      <c r="G318" s="34"/>
      <c r="H318" s="34"/>
      <c r="I318" s="34"/>
      <c r="J318" s="34"/>
      <c r="K318" s="34"/>
      <c r="L318" s="33"/>
      <c r="M318" s="38">
        <v>26.26</v>
      </c>
      <c r="N318" s="30">
        <v>24</v>
      </c>
      <c r="O318" s="50">
        <f>N318*M318</f>
        <v>630.24</v>
      </c>
      <c r="P318" s="35">
        <f t="shared" si="38"/>
        <v>94.54</v>
      </c>
      <c r="Q318" s="40">
        <f t="shared" si="40"/>
        <v>1260.48</v>
      </c>
      <c r="R318" s="35"/>
    </row>
    <row r="319" spans="1:18" x14ac:dyDescent="0.3">
      <c r="A319" s="37">
        <v>43967</v>
      </c>
      <c r="B319" s="36" t="s">
        <v>98</v>
      </c>
      <c r="C319" s="34"/>
      <c r="D319" s="31">
        <v>80</v>
      </c>
      <c r="E319" s="35"/>
      <c r="F319" s="35"/>
      <c r="G319" s="34"/>
      <c r="H319" s="34"/>
      <c r="I319" s="34"/>
      <c r="J319" s="34"/>
      <c r="K319" s="34"/>
      <c r="L319" s="33"/>
      <c r="M319" s="38">
        <v>26.26</v>
      </c>
      <c r="N319" s="30">
        <v>80</v>
      </c>
      <c r="O319" s="50">
        <f>N319*M319</f>
        <v>2100.8000000000002</v>
      </c>
      <c r="P319" s="35">
        <f t="shared" si="38"/>
        <v>273.10000000000002</v>
      </c>
      <c r="Q319" s="40">
        <f t="shared" si="40"/>
        <v>4201.6000000000004</v>
      </c>
      <c r="R319" s="35"/>
    </row>
    <row r="320" spans="1:18" x14ac:dyDescent="0.3">
      <c r="A320" s="37">
        <v>43981</v>
      </c>
      <c r="B320" s="36" t="s">
        <v>98</v>
      </c>
      <c r="C320" s="34"/>
      <c r="D320" s="31">
        <v>96.5</v>
      </c>
      <c r="E320" s="35"/>
      <c r="F320" s="35"/>
      <c r="G320" s="34"/>
      <c r="H320" s="34"/>
      <c r="I320" s="34"/>
      <c r="J320" s="34"/>
      <c r="K320" s="34"/>
      <c r="L320" s="33"/>
      <c r="M320" s="38">
        <v>26.26</v>
      </c>
      <c r="N320" s="30">
        <v>96.5</v>
      </c>
      <c r="O320" s="50">
        <f>(M320*80)+(N320-80)*(M320*1.5)</f>
        <v>2750.7350000000001</v>
      </c>
      <c r="P320" s="35">
        <f t="shared" si="38"/>
        <v>357.6</v>
      </c>
      <c r="Q320" s="40">
        <f t="shared" si="40"/>
        <v>5501.47</v>
      </c>
      <c r="R320" s="35"/>
    </row>
    <row r="321" spans="1:18" x14ac:dyDescent="0.3">
      <c r="A321" s="37">
        <v>43995</v>
      </c>
      <c r="B321" s="36" t="s">
        <v>98</v>
      </c>
      <c r="C321" s="34"/>
      <c r="D321" s="31">
        <v>52</v>
      </c>
      <c r="E321" s="35"/>
      <c r="F321" s="35"/>
      <c r="G321" s="34"/>
      <c r="H321" s="34"/>
      <c r="I321" s="34"/>
      <c r="J321" s="34"/>
      <c r="K321" s="34"/>
      <c r="L321" s="33"/>
      <c r="M321" s="38">
        <v>26.26</v>
      </c>
      <c r="N321" s="30">
        <v>52</v>
      </c>
      <c r="O321" s="50">
        <f>(M321*40)+(M321*1.5)*12</f>
        <v>1523.0800000000002</v>
      </c>
      <c r="P321" s="35">
        <f t="shared" si="38"/>
        <v>182.77</v>
      </c>
      <c r="Q321" s="40">
        <f t="shared" si="40"/>
        <v>3046.1600000000003</v>
      </c>
      <c r="R321" s="35"/>
    </row>
    <row r="322" spans="1:18" x14ac:dyDescent="0.3">
      <c r="A322" s="37">
        <v>44023</v>
      </c>
      <c r="B322" s="36" t="s">
        <v>98</v>
      </c>
      <c r="C322" s="34"/>
      <c r="D322" s="31">
        <v>72</v>
      </c>
      <c r="E322" s="35"/>
      <c r="F322" s="35"/>
      <c r="G322" s="34"/>
      <c r="H322" s="34"/>
      <c r="I322" s="34"/>
      <c r="J322" s="34"/>
      <c r="K322" s="34"/>
      <c r="L322" s="33"/>
      <c r="M322" s="38">
        <v>26.26</v>
      </c>
      <c r="N322" s="30">
        <v>72</v>
      </c>
      <c r="O322" s="50">
        <f>N322*M322</f>
        <v>1890.72</v>
      </c>
      <c r="P322" s="35">
        <f t="shared" si="38"/>
        <v>207.98</v>
      </c>
      <c r="Q322" s="40">
        <f t="shared" si="40"/>
        <v>3781.44</v>
      </c>
      <c r="R322" s="35"/>
    </row>
    <row r="323" spans="1:18" x14ac:dyDescent="0.3">
      <c r="A323" s="32">
        <v>43729</v>
      </c>
      <c r="B323" s="33" t="s">
        <v>99</v>
      </c>
      <c r="C323" s="34"/>
      <c r="D323" s="31">
        <v>36</v>
      </c>
      <c r="E323" s="35"/>
      <c r="F323" s="35"/>
      <c r="G323" s="34"/>
      <c r="H323" s="34"/>
      <c r="I323" s="34"/>
      <c r="J323" s="34"/>
      <c r="K323" s="34"/>
      <c r="L323" s="33"/>
      <c r="M323" s="38">
        <v>26.26</v>
      </c>
      <c r="N323" s="30">
        <v>36</v>
      </c>
      <c r="O323" s="50">
        <f>N323*M323</f>
        <v>945.36</v>
      </c>
      <c r="P323" s="35">
        <f t="shared" si="38"/>
        <v>198.53</v>
      </c>
      <c r="Q323" s="40">
        <f t="shared" si="40"/>
        <v>1890.72</v>
      </c>
      <c r="R323" s="35">
        <v>556.29999999999995</v>
      </c>
    </row>
    <row r="324" spans="1:18" x14ac:dyDescent="0.3">
      <c r="A324" s="32">
        <v>43749</v>
      </c>
      <c r="B324" s="33" t="s">
        <v>99</v>
      </c>
      <c r="C324" s="34">
        <v>1785</v>
      </c>
      <c r="D324" s="33">
        <v>80</v>
      </c>
      <c r="E324" s="35">
        <v>280.64999999999998</v>
      </c>
      <c r="F324" s="35">
        <v>2025</v>
      </c>
      <c r="G324" s="34">
        <v>280.64999999999998</v>
      </c>
      <c r="H324" s="34">
        <v>240</v>
      </c>
      <c r="I324" s="34">
        <v>2305.65</v>
      </c>
      <c r="J324" s="34">
        <v>388.56</v>
      </c>
      <c r="K324" s="34">
        <v>2694.21</v>
      </c>
      <c r="L324" s="33">
        <v>100185</v>
      </c>
      <c r="M324" s="34">
        <f t="shared" si="41"/>
        <v>20.494666666666667</v>
      </c>
      <c r="N324" s="27">
        <v>112.5</v>
      </c>
      <c r="O324" s="34">
        <f t="shared" si="36"/>
        <v>333.03833333333336</v>
      </c>
      <c r="P324" s="35">
        <f t="shared" si="38"/>
        <v>66.61</v>
      </c>
      <c r="Q324" s="40">
        <f t="shared" si="40"/>
        <v>666.07666666666671</v>
      </c>
      <c r="R324" s="35"/>
    </row>
    <row r="325" spans="1:18" x14ac:dyDescent="0.3">
      <c r="A325" s="32">
        <v>43763</v>
      </c>
      <c r="B325" s="33" t="s">
        <v>99</v>
      </c>
      <c r="C325" s="34">
        <v>1710</v>
      </c>
      <c r="D325" s="33">
        <v>80</v>
      </c>
      <c r="E325" s="35">
        <v>211.96</v>
      </c>
      <c r="F325" s="35">
        <v>1710</v>
      </c>
      <c r="G325" s="34">
        <v>211.96</v>
      </c>
      <c r="H325" s="34">
        <v>0</v>
      </c>
      <c r="I325" s="34">
        <v>1921.96</v>
      </c>
      <c r="J325" s="34">
        <v>350.63</v>
      </c>
      <c r="K325" s="34">
        <v>2272.59</v>
      </c>
      <c r="L325" s="33">
        <v>100186</v>
      </c>
      <c r="M325" s="34">
        <f t="shared" si="41"/>
        <v>20.231157894736842</v>
      </c>
      <c r="N325" s="27">
        <v>95</v>
      </c>
      <c r="O325" s="34">
        <f t="shared" si="36"/>
        <v>151.73368421052632</v>
      </c>
      <c r="P325" s="35">
        <f t="shared" si="38"/>
        <v>30.35</v>
      </c>
      <c r="Q325" s="40">
        <f t="shared" si="40"/>
        <v>303.46736842105264</v>
      </c>
      <c r="R325" s="35"/>
    </row>
    <row r="326" spans="1:18" x14ac:dyDescent="0.3">
      <c r="A326" s="32">
        <v>43777</v>
      </c>
      <c r="B326" s="33" t="s">
        <v>99</v>
      </c>
      <c r="C326" s="34">
        <v>1958</v>
      </c>
      <c r="D326" s="33">
        <v>80</v>
      </c>
      <c r="E326" s="35">
        <v>266.05</v>
      </c>
      <c r="F326" s="35">
        <v>1958</v>
      </c>
      <c r="G326" s="34">
        <v>266.05</v>
      </c>
      <c r="H326" s="34">
        <v>0</v>
      </c>
      <c r="I326" s="34">
        <v>2224.0500000000002</v>
      </c>
      <c r="J326" s="34">
        <v>380.49</v>
      </c>
      <c r="K326" s="34">
        <v>2604.54</v>
      </c>
      <c r="L326" s="33" t="s">
        <v>14</v>
      </c>
      <c r="M326" s="34">
        <f t="shared" si="41"/>
        <v>21.181428571428572</v>
      </c>
      <c r="N326" s="27">
        <v>105</v>
      </c>
      <c r="O326" s="34">
        <f t="shared" si="36"/>
        <v>264.76785714285717</v>
      </c>
      <c r="P326" s="35">
        <f t="shared" si="38"/>
        <v>52.95</v>
      </c>
      <c r="Q326" s="40">
        <f t="shared" si="40"/>
        <v>529.53571428571433</v>
      </c>
      <c r="R326" s="35"/>
    </row>
    <row r="327" spans="1:18" x14ac:dyDescent="0.3">
      <c r="A327" s="32">
        <v>43791</v>
      </c>
      <c r="B327" s="33" t="s">
        <v>99</v>
      </c>
      <c r="C327" s="34">
        <v>1862</v>
      </c>
      <c r="D327" s="33">
        <v>80</v>
      </c>
      <c r="E327" s="35">
        <v>245.11</v>
      </c>
      <c r="F327" s="35">
        <v>1862</v>
      </c>
      <c r="G327" s="34">
        <v>245.11</v>
      </c>
      <c r="H327" s="34">
        <v>0</v>
      </c>
      <c r="I327" s="34">
        <v>2107.11</v>
      </c>
      <c r="J327" s="34">
        <v>359.57</v>
      </c>
      <c r="K327" s="34">
        <v>2466.6799999999998</v>
      </c>
      <c r="L327" s="33" t="s">
        <v>14</v>
      </c>
      <c r="M327" s="34">
        <f t="shared" si="41"/>
        <v>21.501122448979594</v>
      </c>
      <c r="N327" s="27">
        <v>98</v>
      </c>
      <c r="O327" s="34">
        <f t="shared" si="36"/>
        <v>193.51010204081635</v>
      </c>
      <c r="P327" s="35">
        <f t="shared" si="38"/>
        <v>36.770000000000003</v>
      </c>
      <c r="Q327" s="40">
        <f t="shared" si="40"/>
        <v>387.0202040816327</v>
      </c>
      <c r="R327" s="35"/>
    </row>
    <row r="328" spans="1:18" x14ac:dyDescent="0.3">
      <c r="A328" s="32">
        <v>43805</v>
      </c>
      <c r="B328" s="33" t="s">
        <v>99</v>
      </c>
      <c r="C328" s="34">
        <v>1282</v>
      </c>
      <c r="D328" s="36">
        <v>40.5</v>
      </c>
      <c r="E328" s="35">
        <v>156.16</v>
      </c>
      <c r="F328" s="35">
        <v>1282</v>
      </c>
      <c r="G328" s="34">
        <v>156.16</v>
      </c>
      <c r="H328" s="34">
        <v>0</v>
      </c>
      <c r="I328" s="34">
        <v>1438.16</v>
      </c>
      <c r="J328" s="34">
        <v>294.16000000000003</v>
      </c>
      <c r="K328" s="34">
        <v>1732.32</v>
      </c>
      <c r="L328" s="33" t="s">
        <v>14</v>
      </c>
      <c r="M328" s="34">
        <f t="shared" si="41"/>
        <v>21.306074074074075</v>
      </c>
      <c r="N328" s="27">
        <v>67.5</v>
      </c>
      <c r="O328" s="38">
        <f>(M328*0.5)*0.5</f>
        <v>5.3265185185185189</v>
      </c>
      <c r="P328" s="35">
        <f t="shared" si="38"/>
        <v>1.01</v>
      </c>
      <c r="Q328" s="40">
        <f t="shared" si="40"/>
        <v>10.653037037037038</v>
      </c>
      <c r="R328" s="35"/>
    </row>
    <row r="329" spans="1:18" x14ac:dyDescent="0.3">
      <c r="A329" s="32">
        <v>43819</v>
      </c>
      <c r="B329" s="33" t="s">
        <v>99</v>
      </c>
      <c r="C329" s="34">
        <v>1700</v>
      </c>
      <c r="D329" s="33">
        <v>80</v>
      </c>
      <c r="E329" s="35">
        <v>209.78</v>
      </c>
      <c r="F329" s="35">
        <v>1700</v>
      </c>
      <c r="G329" s="34">
        <v>209.78</v>
      </c>
      <c r="H329" s="34">
        <v>0</v>
      </c>
      <c r="I329" s="34">
        <v>1909.78</v>
      </c>
      <c r="J329" s="34">
        <v>337.96</v>
      </c>
      <c r="K329" s="34">
        <v>2247.7399999999998</v>
      </c>
      <c r="L329" s="33" t="s">
        <v>14</v>
      </c>
      <c r="M329" s="34">
        <f t="shared" si="41"/>
        <v>21.33832402234637</v>
      </c>
      <c r="N329" s="27">
        <v>89.5</v>
      </c>
      <c r="O329" s="34">
        <f t="shared" si="36"/>
        <v>101.35703910614527</v>
      </c>
      <c r="P329" s="35">
        <f t="shared" si="38"/>
        <v>18.239999999999998</v>
      </c>
      <c r="Q329" s="40">
        <f t="shared" si="40"/>
        <v>202.71407821229053</v>
      </c>
      <c r="R329" s="35"/>
    </row>
    <row r="330" spans="1:18" x14ac:dyDescent="0.3">
      <c r="A330" s="32">
        <v>43833</v>
      </c>
      <c r="B330" s="33" t="s">
        <v>99</v>
      </c>
      <c r="C330" s="34">
        <v>1662</v>
      </c>
      <c r="D330" s="36">
        <v>49.5</v>
      </c>
      <c r="E330" s="35">
        <v>197.28</v>
      </c>
      <c r="F330" s="35">
        <v>1662</v>
      </c>
      <c r="G330" s="34">
        <v>197.28</v>
      </c>
      <c r="H330" s="34">
        <v>0</v>
      </c>
      <c r="I330" s="34">
        <v>1859.28</v>
      </c>
      <c r="J330" s="34">
        <v>344.43</v>
      </c>
      <c r="K330" s="34">
        <v>2203.71</v>
      </c>
      <c r="L330" s="33" t="s">
        <v>14</v>
      </c>
      <c r="M330" s="34">
        <f t="shared" si="41"/>
        <v>21.248914285714285</v>
      </c>
      <c r="N330" s="27">
        <v>87.5</v>
      </c>
      <c r="O330" s="38">
        <f>(M330*0.5)*9.5</f>
        <v>100.93234285714286</v>
      </c>
      <c r="P330" s="35">
        <f t="shared" si="38"/>
        <v>18.170000000000002</v>
      </c>
      <c r="Q330" s="40">
        <f t="shared" si="40"/>
        <v>201.86468571428571</v>
      </c>
      <c r="R330" s="35"/>
    </row>
    <row r="331" spans="1:18" x14ac:dyDescent="0.3">
      <c r="A331" s="32">
        <v>43847</v>
      </c>
      <c r="B331" s="33" t="s">
        <v>99</v>
      </c>
      <c r="C331" s="34">
        <v>1073</v>
      </c>
      <c r="D331" s="36">
        <v>41.5</v>
      </c>
      <c r="E331" s="35"/>
      <c r="F331" s="35">
        <v>1073</v>
      </c>
      <c r="G331" s="34">
        <v>115.07</v>
      </c>
      <c r="H331" s="34">
        <v>0</v>
      </c>
      <c r="I331" s="34">
        <v>1188.07</v>
      </c>
      <c r="J331" s="34">
        <v>220.48</v>
      </c>
      <c r="K331" s="34">
        <v>1408.55</v>
      </c>
      <c r="L331" s="33" t="s">
        <v>14</v>
      </c>
      <c r="M331" s="34">
        <f t="shared" si="41"/>
        <v>18.991150442477878</v>
      </c>
      <c r="N331" s="27">
        <v>56.5</v>
      </c>
      <c r="O331" s="38">
        <f>(M331*0.5)*1.5</f>
        <v>14.243362831858409</v>
      </c>
      <c r="P331" s="35">
        <f t="shared" si="38"/>
        <v>2.42</v>
      </c>
      <c r="Q331" s="40">
        <f t="shared" si="40"/>
        <v>28.486725663716818</v>
      </c>
      <c r="R331" s="35"/>
    </row>
    <row r="332" spans="1:18" x14ac:dyDescent="0.3">
      <c r="A332" s="32">
        <v>43861</v>
      </c>
      <c r="B332" s="33" t="s">
        <v>99</v>
      </c>
      <c r="C332" s="34">
        <v>1786</v>
      </c>
      <c r="D332" s="33">
        <v>80</v>
      </c>
      <c r="E332" s="35"/>
      <c r="F332" s="35">
        <v>1786</v>
      </c>
      <c r="G332" s="34">
        <v>184.16</v>
      </c>
      <c r="H332" s="34">
        <v>0</v>
      </c>
      <c r="I332" s="34">
        <v>1970.16</v>
      </c>
      <c r="J332" s="34">
        <v>337.19</v>
      </c>
      <c r="K332" s="34">
        <v>2307.35</v>
      </c>
      <c r="L332" s="33" t="s">
        <v>14</v>
      </c>
      <c r="M332" s="34">
        <f t="shared" si="41"/>
        <v>19</v>
      </c>
      <c r="N332" s="27">
        <v>94</v>
      </c>
      <c r="O332" s="34">
        <f t="shared" si="36"/>
        <v>133</v>
      </c>
      <c r="P332" s="35">
        <f t="shared" si="38"/>
        <v>22.61</v>
      </c>
      <c r="Q332" s="40">
        <f t="shared" si="40"/>
        <v>266</v>
      </c>
      <c r="R332" s="35"/>
    </row>
    <row r="333" spans="1:18" x14ac:dyDescent="0.3">
      <c r="A333" s="32">
        <v>43407</v>
      </c>
      <c r="B333" s="36" t="s">
        <v>100</v>
      </c>
      <c r="C333" s="34"/>
      <c r="D333" s="31">
        <v>47</v>
      </c>
      <c r="E333" s="35"/>
      <c r="F333" s="35"/>
      <c r="G333" s="34"/>
      <c r="H333" s="34"/>
      <c r="I333" s="34"/>
      <c r="J333" s="34"/>
      <c r="K333" s="34"/>
      <c r="L333" s="33"/>
      <c r="M333" s="38">
        <v>26.79</v>
      </c>
      <c r="N333" s="27">
        <v>47</v>
      </c>
      <c r="O333" s="50">
        <f>(M333*40)+((M333*1.5)*7)</f>
        <v>1352.895</v>
      </c>
      <c r="P333" s="35">
        <f t="shared" si="38"/>
        <v>432.93</v>
      </c>
      <c r="Q333" s="40">
        <f t="shared" si="40"/>
        <v>2705.79</v>
      </c>
      <c r="R333" s="35">
        <v>556.29999999999995</v>
      </c>
    </row>
    <row r="334" spans="1:18" x14ac:dyDescent="0.3">
      <c r="A334" s="32">
        <v>43427</v>
      </c>
      <c r="B334" s="33" t="s">
        <v>100</v>
      </c>
      <c r="C334" s="34">
        <v>2280</v>
      </c>
      <c r="D334" s="33">
        <v>80</v>
      </c>
      <c r="E334" s="35">
        <v>194.88</v>
      </c>
      <c r="F334" s="35">
        <v>2320</v>
      </c>
      <c r="G334" s="34">
        <v>234.88</v>
      </c>
      <c r="H334" s="34">
        <v>0</v>
      </c>
      <c r="I334" s="34">
        <v>2514.88</v>
      </c>
      <c r="J334" s="34">
        <v>413.54</v>
      </c>
      <c r="K334" s="34">
        <v>2928.42</v>
      </c>
      <c r="L334" s="33" t="s">
        <v>14</v>
      </c>
      <c r="M334" s="34">
        <f t="shared" si="41"/>
        <v>20.446178861788617</v>
      </c>
      <c r="N334" s="27">
        <v>123</v>
      </c>
      <c r="O334" s="34">
        <f t="shared" si="36"/>
        <v>439.59284552845526</v>
      </c>
      <c r="P334" s="35">
        <f t="shared" si="38"/>
        <v>136.27000000000001</v>
      </c>
      <c r="Q334" s="40">
        <f t="shared" si="40"/>
        <v>879.18569105691051</v>
      </c>
      <c r="R334" s="35"/>
    </row>
    <row r="335" spans="1:18" x14ac:dyDescent="0.3">
      <c r="A335" s="29">
        <v>43441</v>
      </c>
      <c r="B335" s="33" t="s">
        <v>100</v>
      </c>
      <c r="C335" s="34">
        <v>1190</v>
      </c>
      <c r="D335" s="33">
        <v>70</v>
      </c>
      <c r="E335" s="35">
        <v>225.41</v>
      </c>
      <c r="F335" s="35">
        <v>1750</v>
      </c>
      <c r="G335" s="34">
        <v>435.41</v>
      </c>
      <c r="H335" s="34">
        <v>350</v>
      </c>
      <c r="I335" s="34">
        <v>1975.41</v>
      </c>
      <c r="J335" s="34">
        <v>339.2</v>
      </c>
      <c r="K335" s="34">
        <v>2314.61</v>
      </c>
      <c r="L335" s="33" t="s">
        <v>14</v>
      </c>
      <c r="M335" s="34">
        <f t="shared" si="41"/>
        <v>28.220142857142857</v>
      </c>
      <c r="N335" s="27">
        <v>70</v>
      </c>
      <c r="O335" s="38">
        <f>(M335*0.5)*15</f>
        <v>211.65107142857144</v>
      </c>
      <c r="P335" s="35">
        <f t="shared" si="38"/>
        <v>65.61</v>
      </c>
      <c r="Q335" s="40">
        <f t="shared" si="40"/>
        <v>423.30214285714288</v>
      </c>
      <c r="R335" s="35"/>
    </row>
    <row r="336" spans="1:18" x14ac:dyDescent="0.3">
      <c r="A336" s="32">
        <v>43455</v>
      </c>
      <c r="B336" s="33" t="s">
        <v>100</v>
      </c>
      <c r="C336" s="34">
        <v>1686</v>
      </c>
      <c r="D336" s="33">
        <v>80</v>
      </c>
      <c r="E336" s="35">
        <v>848.03</v>
      </c>
      <c r="F336" s="35">
        <v>2480</v>
      </c>
      <c r="G336" s="34">
        <v>842.03</v>
      </c>
      <c r="H336" s="34">
        <v>800</v>
      </c>
      <c r="I336" s="34">
        <v>3328.03</v>
      </c>
      <c r="J336" s="34">
        <v>490.44</v>
      </c>
      <c r="K336" s="34">
        <v>3818.47</v>
      </c>
      <c r="L336" s="33" t="s">
        <v>14</v>
      </c>
      <c r="M336" s="34">
        <f t="shared" si="41"/>
        <v>29.451592920353981</v>
      </c>
      <c r="N336" s="27">
        <v>113</v>
      </c>
      <c r="O336" s="34">
        <f t="shared" si="36"/>
        <v>485.95128318584068</v>
      </c>
      <c r="P336" s="35">
        <f t="shared" si="38"/>
        <v>145.79</v>
      </c>
      <c r="Q336" s="40">
        <f t="shared" si="40"/>
        <v>971.90256637168136</v>
      </c>
      <c r="R336" s="35"/>
    </row>
    <row r="337" spans="1:18" x14ac:dyDescent="0.3">
      <c r="A337" s="32">
        <v>43469</v>
      </c>
      <c r="B337" s="33" t="s">
        <v>100</v>
      </c>
      <c r="C337" s="34">
        <v>1641</v>
      </c>
      <c r="D337" s="33">
        <v>80</v>
      </c>
      <c r="E337" s="35">
        <v>867.87</v>
      </c>
      <c r="F337" s="35">
        <v>1760</v>
      </c>
      <c r="G337" s="34">
        <v>636.87</v>
      </c>
      <c r="H337" s="34">
        <v>350</v>
      </c>
      <c r="I337" s="34">
        <v>2627.87</v>
      </c>
      <c r="J337" s="34">
        <v>424.91</v>
      </c>
      <c r="K337" s="34">
        <v>3052.78</v>
      </c>
      <c r="L337" s="33" t="s">
        <v>14</v>
      </c>
      <c r="M337" s="34">
        <f t="shared" si="41"/>
        <v>29.037237569060771</v>
      </c>
      <c r="N337" s="27">
        <v>90.5</v>
      </c>
      <c r="O337" s="34">
        <f t="shared" si="36"/>
        <v>152.44549723756904</v>
      </c>
      <c r="P337" s="35">
        <f t="shared" si="38"/>
        <v>45.73</v>
      </c>
      <c r="Q337" s="40">
        <f t="shared" si="40"/>
        <v>304.89099447513809</v>
      </c>
      <c r="R337" s="35"/>
    </row>
    <row r="338" spans="1:18" hidden="1" x14ac:dyDescent="0.3">
      <c r="A338" s="32" t="s">
        <v>77</v>
      </c>
      <c r="B338" s="33" t="s">
        <v>100</v>
      </c>
      <c r="C338" s="34">
        <v>508.92</v>
      </c>
      <c r="D338" s="33">
        <v>0</v>
      </c>
      <c r="E338" s="33">
        <v>508.92</v>
      </c>
      <c r="F338" s="33"/>
      <c r="G338" s="34">
        <v>95.25</v>
      </c>
      <c r="H338" s="34">
        <v>0</v>
      </c>
      <c r="I338" s="34">
        <v>604.16999999999996</v>
      </c>
      <c r="J338" s="34">
        <v>60.77</v>
      </c>
      <c r="K338" s="34">
        <v>664.94</v>
      </c>
      <c r="L338" s="33" t="s">
        <v>14</v>
      </c>
      <c r="M338" s="34" t="e">
        <f t="shared" si="41"/>
        <v>#DIV/0!</v>
      </c>
      <c r="N338" s="27"/>
      <c r="O338" s="34" t="e">
        <f t="shared" si="36"/>
        <v>#DIV/0!</v>
      </c>
      <c r="P338" s="35" t="e">
        <f t="shared" si="38"/>
        <v>#VALUE!</v>
      </c>
      <c r="Q338" s="34" t="e">
        <f t="shared" si="37"/>
        <v>#DIV/0!</v>
      </c>
      <c r="R338" s="35"/>
    </row>
    <row r="339" spans="1:18" hidden="1" x14ac:dyDescent="0.3">
      <c r="A339" s="32" t="s">
        <v>77</v>
      </c>
      <c r="B339" s="33" t="s">
        <v>100</v>
      </c>
      <c r="C339" s="34">
        <v>1191.08</v>
      </c>
      <c r="D339" s="33">
        <v>80</v>
      </c>
      <c r="E339" s="33">
        <v>440</v>
      </c>
      <c r="F339" s="33">
        <v>1760</v>
      </c>
      <c r="G339" s="34">
        <v>508.92</v>
      </c>
      <c r="H339" s="34">
        <v>500</v>
      </c>
      <c r="I339" s="34">
        <v>2200</v>
      </c>
      <c r="J339" s="34">
        <v>381.86</v>
      </c>
      <c r="K339" s="34">
        <v>2581.86</v>
      </c>
      <c r="L339" s="33" t="s">
        <v>14</v>
      </c>
      <c r="M339" s="34" t="e">
        <f t="shared" si="41"/>
        <v>#DIV/0!</v>
      </c>
      <c r="N339" s="27"/>
      <c r="O339" s="34" t="e">
        <f t="shared" si="36"/>
        <v>#DIV/0!</v>
      </c>
      <c r="P339" s="35" t="e">
        <f t="shared" si="38"/>
        <v>#VALUE!</v>
      </c>
      <c r="Q339" s="34" t="e">
        <f t="shared" si="37"/>
        <v>#DIV/0!</v>
      </c>
      <c r="R339" s="35"/>
    </row>
    <row r="340" spans="1:18" hidden="1" x14ac:dyDescent="0.3">
      <c r="A340" s="32" t="s">
        <v>77</v>
      </c>
      <c r="B340" s="33" t="s">
        <v>100</v>
      </c>
      <c r="C340" s="34">
        <v>2352</v>
      </c>
      <c r="D340" s="33">
        <v>80</v>
      </c>
      <c r="E340" s="33">
        <v>1816.32</v>
      </c>
      <c r="F340" s="33">
        <v>1760</v>
      </c>
      <c r="G340" s="34">
        <v>924.32</v>
      </c>
      <c r="H340" s="34">
        <v>300</v>
      </c>
      <c r="I340" s="34">
        <v>3576.32</v>
      </c>
      <c r="J340" s="34">
        <v>508.28</v>
      </c>
      <c r="K340" s="34">
        <v>4084.6</v>
      </c>
      <c r="L340" s="33" t="s">
        <v>14</v>
      </c>
      <c r="M340" s="34" t="e">
        <f t="shared" si="41"/>
        <v>#DIV/0!</v>
      </c>
      <c r="N340" s="27"/>
      <c r="O340" s="34" t="e">
        <f t="shared" si="36"/>
        <v>#DIV/0!</v>
      </c>
      <c r="P340" s="35" t="e">
        <f t="shared" si="38"/>
        <v>#VALUE!</v>
      </c>
      <c r="Q340" s="34" t="e">
        <f t="shared" si="37"/>
        <v>#DIV/0!</v>
      </c>
      <c r="R340" s="35"/>
    </row>
    <row r="341" spans="1:18" x14ac:dyDescent="0.3">
      <c r="A341" s="37">
        <v>43589</v>
      </c>
      <c r="B341" s="36" t="s">
        <v>102</v>
      </c>
      <c r="C341" s="34"/>
      <c r="D341" s="31">
        <v>60</v>
      </c>
      <c r="E341" s="35"/>
      <c r="F341" s="35"/>
      <c r="G341" s="34"/>
      <c r="H341" s="34"/>
      <c r="I341" s="34"/>
      <c r="J341" s="34"/>
      <c r="K341" s="34"/>
      <c r="L341" s="33"/>
      <c r="M341" s="38">
        <v>26.26</v>
      </c>
      <c r="N341" s="27">
        <v>60</v>
      </c>
      <c r="O341" s="50">
        <f>(M341*52)+((M341*1.5)*8)</f>
        <v>1680.6399999999999</v>
      </c>
      <c r="P341" s="35">
        <f t="shared" si="38"/>
        <v>436.97</v>
      </c>
      <c r="Q341" s="40">
        <f t="shared" ref="Q341:Q347" si="42">O341*2</f>
        <v>3361.2799999999997</v>
      </c>
      <c r="R341" s="35">
        <v>556.29999999999995</v>
      </c>
    </row>
    <row r="342" spans="1:18" x14ac:dyDescent="0.3">
      <c r="A342" s="32">
        <v>43511</v>
      </c>
      <c r="B342" s="33" t="s">
        <v>101</v>
      </c>
      <c r="C342" s="34">
        <v>1717</v>
      </c>
      <c r="D342" s="33">
        <v>80</v>
      </c>
      <c r="E342" s="35">
        <v>193.48</v>
      </c>
      <c r="F342" s="35">
        <v>1717</v>
      </c>
      <c r="G342" s="34">
        <v>193.48</v>
      </c>
      <c r="H342" s="34">
        <v>0</v>
      </c>
      <c r="I342" s="34">
        <v>1910.48</v>
      </c>
      <c r="J342" s="34">
        <v>352.73</v>
      </c>
      <c r="K342" s="34">
        <v>2263.21</v>
      </c>
      <c r="L342" s="33">
        <v>100154</v>
      </c>
      <c r="M342" s="34">
        <f t="shared" si="41"/>
        <v>18.915643564356436</v>
      </c>
      <c r="N342" s="27">
        <v>101</v>
      </c>
      <c r="O342" s="34">
        <f t="shared" si="36"/>
        <v>198.61425742574258</v>
      </c>
      <c r="P342" s="35">
        <f t="shared" si="38"/>
        <v>55.61</v>
      </c>
      <c r="Q342" s="40">
        <f t="shared" si="42"/>
        <v>397.22851485148516</v>
      </c>
      <c r="R342" s="35">
        <v>556.29999999999995</v>
      </c>
    </row>
    <row r="343" spans="1:18" x14ac:dyDescent="0.3">
      <c r="A343" s="32">
        <v>43525</v>
      </c>
      <c r="B343" s="33" t="s">
        <v>101</v>
      </c>
      <c r="C343" s="34">
        <v>1173</v>
      </c>
      <c r="D343" s="36">
        <v>69</v>
      </c>
      <c r="E343" s="35">
        <v>212.93</v>
      </c>
      <c r="F343" s="35">
        <v>1173</v>
      </c>
      <c r="G343" s="34">
        <v>212.93</v>
      </c>
      <c r="H343" s="34">
        <v>0</v>
      </c>
      <c r="I343" s="34">
        <v>1385.93</v>
      </c>
      <c r="J343" s="34">
        <v>299.98</v>
      </c>
      <c r="K343" s="34">
        <v>1685.91</v>
      </c>
      <c r="L343" s="33">
        <v>100156</v>
      </c>
      <c r="M343" s="34">
        <f t="shared" si="41"/>
        <v>20.085942028985507</v>
      </c>
      <c r="N343" s="27">
        <v>69</v>
      </c>
      <c r="O343" s="34">
        <v>0</v>
      </c>
      <c r="P343" s="35">
        <f t="shared" si="38"/>
        <v>0</v>
      </c>
      <c r="Q343" s="40">
        <f t="shared" si="42"/>
        <v>0</v>
      </c>
      <c r="R343" s="35"/>
    </row>
    <row r="344" spans="1:18" x14ac:dyDescent="0.3">
      <c r="A344" s="32">
        <v>43539</v>
      </c>
      <c r="B344" s="33" t="s">
        <v>101</v>
      </c>
      <c r="C344" s="34">
        <v>1589</v>
      </c>
      <c r="D344" s="33">
        <v>80</v>
      </c>
      <c r="E344" s="35">
        <v>312.87</v>
      </c>
      <c r="F344" s="35">
        <v>1589</v>
      </c>
      <c r="G344" s="34">
        <v>312.87</v>
      </c>
      <c r="H344" s="34">
        <v>0</v>
      </c>
      <c r="I344" s="34">
        <v>1901.87</v>
      </c>
      <c r="J344" s="34">
        <v>351.86</v>
      </c>
      <c r="K344" s="34">
        <v>2253.73</v>
      </c>
      <c r="L344" s="33" t="s">
        <v>14</v>
      </c>
      <c r="M344" s="34">
        <f t="shared" si="41"/>
        <v>20.340855614973261</v>
      </c>
      <c r="N344" s="27">
        <v>93.5</v>
      </c>
      <c r="O344" s="34">
        <f t="shared" si="36"/>
        <v>137.3007754010695</v>
      </c>
      <c r="P344" s="35">
        <f t="shared" si="38"/>
        <v>37.07</v>
      </c>
      <c r="Q344" s="40">
        <f t="shared" si="42"/>
        <v>274.601550802139</v>
      </c>
      <c r="R344" s="35"/>
    </row>
    <row r="345" spans="1:18" x14ac:dyDescent="0.3">
      <c r="A345" s="32">
        <v>43553</v>
      </c>
      <c r="B345" s="33" t="s">
        <v>101</v>
      </c>
      <c r="C345" s="34">
        <v>1598</v>
      </c>
      <c r="D345" s="33">
        <v>80</v>
      </c>
      <c r="E345" s="35">
        <v>315.12</v>
      </c>
      <c r="F345" s="35">
        <v>1598</v>
      </c>
      <c r="G345" s="34">
        <v>315.12</v>
      </c>
      <c r="H345" s="34">
        <v>0</v>
      </c>
      <c r="I345" s="34">
        <v>1913.12</v>
      </c>
      <c r="J345" s="34">
        <v>352.33</v>
      </c>
      <c r="K345" s="34">
        <v>2265.4499999999998</v>
      </c>
      <c r="L345" s="33" t="s">
        <v>14</v>
      </c>
      <c r="M345" s="34">
        <f t="shared" si="41"/>
        <v>21.74</v>
      </c>
      <c r="N345" s="27">
        <v>88</v>
      </c>
      <c r="O345" s="34">
        <f t="shared" si="36"/>
        <v>86.96</v>
      </c>
      <c r="P345" s="35">
        <f t="shared" si="38"/>
        <v>23.48</v>
      </c>
      <c r="Q345" s="40">
        <f t="shared" si="42"/>
        <v>173.92</v>
      </c>
      <c r="R345" s="35"/>
    </row>
    <row r="346" spans="1:18" x14ac:dyDescent="0.3">
      <c r="A346" s="32">
        <v>43567</v>
      </c>
      <c r="B346" s="33" t="s">
        <v>101</v>
      </c>
      <c r="C346" s="34">
        <v>1496</v>
      </c>
      <c r="D346" s="33">
        <v>80</v>
      </c>
      <c r="E346" s="35">
        <v>289.75</v>
      </c>
      <c r="F346" s="35">
        <v>1496</v>
      </c>
      <c r="G346" s="34">
        <v>289.75</v>
      </c>
      <c r="H346" s="34">
        <v>0</v>
      </c>
      <c r="I346" s="34">
        <v>1785.75</v>
      </c>
      <c r="J346" s="34">
        <v>329.46</v>
      </c>
      <c r="K346" s="34">
        <v>2115.21</v>
      </c>
      <c r="L346" s="33" t="s">
        <v>14</v>
      </c>
      <c r="M346" s="34">
        <f t="shared" si="41"/>
        <v>20.292613636363637</v>
      </c>
      <c r="N346" s="27">
        <v>88</v>
      </c>
      <c r="O346" s="34">
        <f t="shared" si="36"/>
        <v>81.170454545454547</v>
      </c>
      <c r="P346" s="35">
        <f t="shared" si="38"/>
        <v>21.92</v>
      </c>
      <c r="Q346" s="40">
        <f t="shared" si="42"/>
        <v>162.34090909090909</v>
      </c>
      <c r="R346" s="35"/>
    </row>
    <row r="347" spans="1:18" x14ac:dyDescent="0.3">
      <c r="A347" s="32">
        <v>43581</v>
      </c>
      <c r="B347" s="33" t="s">
        <v>101</v>
      </c>
      <c r="C347" s="34">
        <v>748</v>
      </c>
      <c r="D347" s="36">
        <v>44</v>
      </c>
      <c r="E347" s="35">
        <v>96.95</v>
      </c>
      <c r="F347" s="35">
        <v>748</v>
      </c>
      <c r="G347" s="34">
        <v>96.95</v>
      </c>
      <c r="H347" s="34">
        <v>0</v>
      </c>
      <c r="I347" s="34">
        <v>844.95</v>
      </c>
      <c r="J347" s="34">
        <v>166.79</v>
      </c>
      <c r="K347" s="34">
        <v>1011.74</v>
      </c>
      <c r="L347" s="33" t="s">
        <v>14</v>
      </c>
      <c r="M347" s="34">
        <f t="shared" si="41"/>
        <v>19.203409090909091</v>
      </c>
      <c r="N347" s="27">
        <v>44</v>
      </c>
      <c r="O347" s="38">
        <f>(M347*0.5)*4</f>
        <v>38.406818181818181</v>
      </c>
      <c r="P347" s="35">
        <f t="shared" si="38"/>
        <v>9.99</v>
      </c>
      <c r="Q347" s="40">
        <f t="shared" si="42"/>
        <v>76.813636363636363</v>
      </c>
      <c r="R347" s="35"/>
    </row>
    <row r="348" spans="1:18" hidden="1" x14ac:dyDescent="0.3">
      <c r="A348" s="37" t="s">
        <v>77</v>
      </c>
      <c r="B348" s="33" t="s">
        <v>101</v>
      </c>
      <c r="C348" s="34">
        <v>1020</v>
      </c>
      <c r="D348" s="33">
        <v>60</v>
      </c>
      <c r="E348" s="33">
        <v>166.62</v>
      </c>
      <c r="F348" s="33">
        <v>1020</v>
      </c>
      <c r="G348" s="34">
        <v>166.62</v>
      </c>
      <c r="H348" s="34">
        <v>0</v>
      </c>
      <c r="I348" s="34">
        <v>1186.6199999999999</v>
      </c>
      <c r="J348" s="34">
        <v>230.64</v>
      </c>
      <c r="K348" s="34">
        <v>1417.26</v>
      </c>
      <c r="L348" s="33" t="s">
        <v>14</v>
      </c>
      <c r="M348" s="34" t="e">
        <f t="shared" si="41"/>
        <v>#DIV/0!</v>
      </c>
      <c r="N348" s="27"/>
      <c r="O348" s="34" t="e">
        <f t="shared" si="36"/>
        <v>#DIV/0!</v>
      </c>
      <c r="P348" s="35" t="e">
        <f t="shared" si="38"/>
        <v>#VALUE!</v>
      </c>
      <c r="Q348" s="34" t="e">
        <f t="shared" si="37"/>
        <v>#DIV/0!</v>
      </c>
      <c r="R348" s="35"/>
    </row>
    <row r="349" spans="1:18" x14ac:dyDescent="0.3">
      <c r="A349" s="32">
        <v>43609</v>
      </c>
      <c r="B349" s="33" t="s">
        <v>101</v>
      </c>
      <c r="C349" s="34">
        <v>1666</v>
      </c>
      <c r="D349" s="33">
        <v>80</v>
      </c>
      <c r="E349" s="35">
        <v>332</v>
      </c>
      <c r="F349" s="35">
        <v>1666</v>
      </c>
      <c r="G349" s="34">
        <v>332</v>
      </c>
      <c r="H349" s="34">
        <v>0</v>
      </c>
      <c r="I349" s="34">
        <v>1998</v>
      </c>
      <c r="J349" s="34">
        <v>346.16</v>
      </c>
      <c r="K349" s="34">
        <v>2344.16</v>
      </c>
      <c r="L349" s="33" t="s">
        <v>14</v>
      </c>
      <c r="M349" s="34">
        <f t="shared" si="41"/>
        <v>20.387755102040817</v>
      </c>
      <c r="N349" s="27">
        <v>98</v>
      </c>
      <c r="O349" s="34">
        <f t="shared" si="36"/>
        <v>183.48979591836735</v>
      </c>
      <c r="P349" s="35">
        <f t="shared" si="38"/>
        <v>45.87</v>
      </c>
      <c r="Q349" s="40">
        <f t="shared" ref="Q349:Q364" si="43">O349*2</f>
        <v>366.9795918367347</v>
      </c>
      <c r="R349" s="35"/>
    </row>
    <row r="350" spans="1:18" x14ac:dyDescent="0.3">
      <c r="A350" s="32">
        <v>43623</v>
      </c>
      <c r="B350" s="33" t="s">
        <v>101</v>
      </c>
      <c r="C350" s="34">
        <v>1666</v>
      </c>
      <c r="D350" s="33">
        <v>80</v>
      </c>
      <c r="E350" s="35">
        <v>337.98</v>
      </c>
      <c r="F350" s="35">
        <v>1660</v>
      </c>
      <c r="G350" s="34">
        <v>331.98</v>
      </c>
      <c r="H350" s="34">
        <v>0</v>
      </c>
      <c r="I350" s="34">
        <v>1997.98</v>
      </c>
      <c r="J350" s="34">
        <v>346.15</v>
      </c>
      <c r="K350" s="34">
        <v>2344.13</v>
      </c>
      <c r="L350" s="33" t="s">
        <v>14</v>
      </c>
      <c r="M350" s="34">
        <f t="shared" si="41"/>
        <v>20.387551020408164</v>
      </c>
      <c r="N350" s="27">
        <v>98</v>
      </c>
      <c r="O350" s="34">
        <f t="shared" si="36"/>
        <v>183.48795918367347</v>
      </c>
      <c r="P350" s="35">
        <f t="shared" si="38"/>
        <v>45.87</v>
      </c>
      <c r="Q350" s="40">
        <f t="shared" si="43"/>
        <v>366.97591836734694</v>
      </c>
      <c r="R350" s="35"/>
    </row>
    <row r="351" spans="1:18" x14ac:dyDescent="0.3">
      <c r="A351" s="32">
        <v>43637</v>
      </c>
      <c r="B351" s="33" t="s">
        <v>101</v>
      </c>
      <c r="C351" s="34">
        <v>2201</v>
      </c>
      <c r="D351" s="33">
        <v>80</v>
      </c>
      <c r="E351" s="35">
        <v>319.74</v>
      </c>
      <c r="F351" s="35">
        <v>2201</v>
      </c>
      <c r="G351" s="34">
        <v>319.74</v>
      </c>
      <c r="H351" s="34">
        <v>0</v>
      </c>
      <c r="I351" s="34">
        <v>2520.7399999999998</v>
      </c>
      <c r="J351" s="34">
        <v>394.71</v>
      </c>
      <c r="K351" s="34">
        <v>2915.45</v>
      </c>
      <c r="L351" s="33" t="s">
        <v>14</v>
      </c>
      <c r="M351" s="34">
        <f t="shared" si="41"/>
        <v>19.465173745173743</v>
      </c>
      <c r="N351" s="27">
        <v>129.5</v>
      </c>
      <c r="O351" s="34">
        <f t="shared" si="36"/>
        <v>481.76305019305016</v>
      </c>
      <c r="P351" s="35">
        <f t="shared" si="38"/>
        <v>115.62</v>
      </c>
      <c r="Q351" s="40">
        <f t="shared" si="43"/>
        <v>963.52610038610032</v>
      </c>
      <c r="R351" s="35"/>
    </row>
    <row r="352" spans="1:18" x14ac:dyDescent="0.3">
      <c r="A352" s="32">
        <v>43651</v>
      </c>
      <c r="B352" s="33" t="s">
        <v>101</v>
      </c>
      <c r="C352" s="34">
        <v>2014</v>
      </c>
      <c r="D352" s="36">
        <v>57.5</v>
      </c>
      <c r="E352" s="35">
        <v>218.96</v>
      </c>
      <c r="F352" s="35">
        <v>2014</v>
      </c>
      <c r="G352" s="34">
        <v>218.96</v>
      </c>
      <c r="H352" s="34">
        <v>0</v>
      </c>
      <c r="I352" s="34">
        <v>2232.96</v>
      </c>
      <c r="J352" s="34">
        <v>367.98</v>
      </c>
      <c r="K352" s="34">
        <v>2600.94</v>
      </c>
      <c r="L352" s="33" t="s">
        <v>14</v>
      </c>
      <c r="M352" s="38">
        <f t="shared" si="41"/>
        <v>18.843544303797469</v>
      </c>
      <c r="N352" s="27">
        <v>118.5</v>
      </c>
      <c r="O352" s="50">
        <f>(M352*78.5)+(M352*1.5)*41.5</f>
        <v>2652.2288607594937</v>
      </c>
      <c r="P352" s="35">
        <f t="shared" si="38"/>
        <v>636.53</v>
      </c>
      <c r="Q352" s="40">
        <f t="shared" si="43"/>
        <v>5304.4577215189875</v>
      </c>
      <c r="R352" s="35"/>
    </row>
    <row r="353" spans="1:18" x14ac:dyDescent="0.3">
      <c r="A353" s="32">
        <v>43665</v>
      </c>
      <c r="B353" s="33" t="s">
        <v>101</v>
      </c>
      <c r="C353" s="34">
        <v>1632</v>
      </c>
      <c r="D353" s="36">
        <v>43.5</v>
      </c>
      <c r="E353" s="35">
        <v>194.95</v>
      </c>
      <c r="F353" s="35">
        <v>1632</v>
      </c>
      <c r="G353" s="34">
        <v>194.95</v>
      </c>
      <c r="H353" s="34">
        <v>0</v>
      </c>
      <c r="I353" s="34">
        <v>1826.95</v>
      </c>
      <c r="J353" s="34">
        <v>330.27</v>
      </c>
      <c r="K353" s="34">
        <v>2157.2199999999998</v>
      </c>
      <c r="L353" s="33" t="s">
        <v>14</v>
      </c>
      <c r="M353" s="38">
        <f t="shared" si="41"/>
        <v>19.030729166666667</v>
      </c>
      <c r="N353" s="27">
        <v>96</v>
      </c>
      <c r="O353" s="50">
        <f>(M353*77)+(M353*1.5)*19</f>
        <v>2007.7419270833334</v>
      </c>
      <c r="P353" s="35">
        <f t="shared" si="38"/>
        <v>461.78</v>
      </c>
      <c r="Q353" s="40">
        <f t="shared" si="43"/>
        <v>4015.4838541666668</v>
      </c>
      <c r="R353" s="35"/>
    </row>
    <row r="354" spans="1:18" x14ac:dyDescent="0.3">
      <c r="A354" s="32">
        <v>43679</v>
      </c>
      <c r="B354" s="33" t="s">
        <v>101</v>
      </c>
      <c r="C354" s="34">
        <v>646</v>
      </c>
      <c r="D354" s="33">
        <v>80</v>
      </c>
      <c r="E354" s="35">
        <v>101.54</v>
      </c>
      <c r="F354" s="35">
        <v>646</v>
      </c>
      <c r="G354" s="34">
        <v>101.57</v>
      </c>
      <c r="H354" s="34">
        <v>-0.03</v>
      </c>
      <c r="I354" s="34">
        <v>747.54</v>
      </c>
      <c r="J354" s="34">
        <v>229.99</v>
      </c>
      <c r="K354" s="34">
        <v>977.53</v>
      </c>
      <c r="L354" s="33">
        <v>100180</v>
      </c>
      <c r="M354" s="38">
        <v>16</v>
      </c>
      <c r="N354" s="27">
        <v>124</v>
      </c>
      <c r="O354" s="34">
        <f t="shared" ref="O354:O444" si="44">((N354-80)*M354)*0.5</f>
        <v>352</v>
      </c>
      <c r="P354" s="35">
        <f t="shared" si="38"/>
        <v>80.959999999999994</v>
      </c>
      <c r="Q354" s="40">
        <f t="shared" si="43"/>
        <v>704</v>
      </c>
      <c r="R354" s="35"/>
    </row>
    <row r="355" spans="1:18" x14ac:dyDescent="0.3">
      <c r="A355" s="32">
        <v>43693</v>
      </c>
      <c r="B355" s="33" t="s">
        <v>101</v>
      </c>
      <c r="C355" s="34">
        <v>918</v>
      </c>
      <c r="D355" s="33">
        <v>51</v>
      </c>
      <c r="E355" s="35">
        <v>108.19</v>
      </c>
      <c r="F355" s="35">
        <v>918</v>
      </c>
      <c r="G355" s="34">
        <v>108.19</v>
      </c>
      <c r="H355" s="34">
        <v>0</v>
      </c>
      <c r="I355" s="34">
        <v>1026.19</v>
      </c>
      <c r="J355" s="34">
        <v>197.67</v>
      </c>
      <c r="K355" s="34">
        <v>1223.8599999999999</v>
      </c>
      <c r="L355" s="33" t="s">
        <v>14</v>
      </c>
      <c r="M355" s="38">
        <v>16</v>
      </c>
      <c r="N355" s="27">
        <v>125.5</v>
      </c>
      <c r="O355" s="34">
        <f t="shared" si="44"/>
        <v>364</v>
      </c>
      <c r="P355" s="35">
        <f t="shared" si="38"/>
        <v>80.08</v>
      </c>
      <c r="Q355" s="40">
        <f t="shared" si="43"/>
        <v>728</v>
      </c>
      <c r="R355" s="35"/>
    </row>
    <row r="356" spans="1:18" x14ac:dyDescent="0.3">
      <c r="A356" s="32">
        <v>43707</v>
      </c>
      <c r="B356" s="33" t="s">
        <v>101</v>
      </c>
      <c r="C356" s="34">
        <v>2178</v>
      </c>
      <c r="D356" s="33">
        <v>80</v>
      </c>
      <c r="E356" s="35">
        <v>314.02</v>
      </c>
      <c r="F356" s="35">
        <v>2178</v>
      </c>
      <c r="G356" s="34">
        <v>314.02</v>
      </c>
      <c r="H356" s="34">
        <v>0</v>
      </c>
      <c r="I356" s="34">
        <v>2492.02</v>
      </c>
      <c r="J356" s="34">
        <v>392.06</v>
      </c>
      <c r="K356" s="34">
        <v>2884.08</v>
      </c>
      <c r="L356" s="33" t="s">
        <v>14</v>
      </c>
      <c r="M356" s="34">
        <f t="shared" si="41"/>
        <v>18.189927007299271</v>
      </c>
      <c r="N356" s="27">
        <v>137</v>
      </c>
      <c r="O356" s="34">
        <f t="shared" si="44"/>
        <v>518.41291970802922</v>
      </c>
      <c r="P356" s="35">
        <f t="shared" si="38"/>
        <v>114.05</v>
      </c>
      <c r="Q356" s="40">
        <f t="shared" si="43"/>
        <v>1036.8258394160584</v>
      </c>
      <c r="R356" s="35"/>
    </row>
    <row r="357" spans="1:18" x14ac:dyDescent="0.3">
      <c r="A357" s="32">
        <v>43721</v>
      </c>
      <c r="B357" s="33" t="s">
        <v>101</v>
      </c>
      <c r="C357" s="34">
        <v>1602</v>
      </c>
      <c r="D357" s="36">
        <v>55</v>
      </c>
      <c r="E357" s="35">
        <v>188.41</v>
      </c>
      <c r="F357" s="35">
        <v>1602</v>
      </c>
      <c r="G357" s="34">
        <v>188.41</v>
      </c>
      <c r="H357" s="34">
        <v>0</v>
      </c>
      <c r="I357" s="34">
        <v>1790.41</v>
      </c>
      <c r="J357" s="34">
        <v>326.86</v>
      </c>
      <c r="K357" s="34">
        <v>2117.27</v>
      </c>
      <c r="L357" s="33" t="s">
        <v>14</v>
      </c>
      <c r="M357" s="34">
        <f t="shared" si="41"/>
        <v>20.004581005586594</v>
      </c>
      <c r="N357" s="27">
        <v>89.5</v>
      </c>
      <c r="O357" s="38">
        <f>(M357*0.5)*15</f>
        <v>150.03435754189945</v>
      </c>
      <c r="P357" s="35">
        <f t="shared" ref="P357:P419" si="45">ROUND(((ROUNDDOWN(($W$1-A357)/30,0))/100)*O357,2)</f>
        <v>31.51</v>
      </c>
      <c r="Q357" s="40">
        <f t="shared" si="43"/>
        <v>300.06871508379891</v>
      </c>
      <c r="R357" s="35"/>
    </row>
    <row r="358" spans="1:18" x14ac:dyDescent="0.3">
      <c r="A358" s="32">
        <v>43735</v>
      </c>
      <c r="B358" s="33" t="s">
        <v>101</v>
      </c>
      <c r="C358" s="34">
        <v>2268</v>
      </c>
      <c r="D358" s="33">
        <v>80</v>
      </c>
      <c r="E358" s="35">
        <v>336.4</v>
      </c>
      <c r="F358" s="35">
        <v>2268</v>
      </c>
      <c r="G358" s="34">
        <v>336.4</v>
      </c>
      <c r="H358" s="34">
        <v>0</v>
      </c>
      <c r="I358" s="34">
        <v>2604.4</v>
      </c>
      <c r="J358" s="34">
        <v>402.5</v>
      </c>
      <c r="K358" s="34">
        <v>3006.9</v>
      </c>
      <c r="L358" s="33" t="s">
        <v>14</v>
      </c>
      <c r="M358" s="34">
        <f t="shared" si="41"/>
        <v>20.669841269841271</v>
      </c>
      <c r="N358" s="27">
        <v>126</v>
      </c>
      <c r="O358" s="34">
        <f t="shared" si="44"/>
        <v>475.4063492063492</v>
      </c>
      <c r="P358" s="35">
        <f t="shared" si="45"/>
        <v>99.84</v>
      </c>
      <c r="Q358" s="40">
        <f t="shared" si="43"/>
        <v>950.81269841269841</v>
      </c>
      <c r="R358" s="35"/>
    </row>
    <row r="359" spans="1:18" x14ac:dyDescent="0.3">
      <c r="A359" s="32">
        <v>43749</v>
      </c>
      <c r="B359" s="33" t="s">
        <v>101</v>
      </c>
      <c r="C359" s="34">
        <v>2241</v>
      </c>
      <c r="D359" s="33">
        <v>80</v>
      </c>
      <c r="E359" s="35">
        <v>329.66</v>
      </c>
      <c r="F359" s="35">
        <v>2241</v>
      </c>
      <c r="G359" s="34">
        <v>329.66</v>
      </c>
      <c r="H359" s="34">
        <v>0</v>
      </c>
      <c r="I359" s="34">
        <v>2570.66</v>
      </c>
      <c r="J359" s="34">
        <v>399.34</v>
      </c>
      <c r="K359" s="34">
        <v>2970</v>
      </c>
      <c r="L359" s="33" t="s">
        <v>14</v>
      </c>
      <c r="M359" s="34">
        <f t="shared" si="41"/>
        <v>20.647871485943774</v>
      </c>
      <c r="N359" s="27">
        <v>124.5</v>
      </c>
      <c r="O359" s="34">
        <f t="shared" si="44"/>
        <v>459.41514056224901</v>
      </c>
      <c r="P359" s="35">
        <f t="shared" si="45"/>
        <v>91.88</v>
      </c>
      <c r="Q359" s="40">
        <f t="shared" si="43"/>
        <v>918.83028112449801</v>
      </c>
      <c r="R359" s="35"/>
    </row>
    <row r="360" spans="1:18" x14ac:dyDescent="0.3">
      <c r="A360" s="32">
        <v>43763</v>
      </c>
      <c r="B360" s="33" t="s">
        <v>101</v>
      </c>
      <c r="C360" s="34">
        <v>1638</v>
      </c>
      <c r="D360" s="33">
        <v>80</v>
      </c>
      <c r="E360" s="35">
        <v>196.26</v>
      </c>
      <c r="F360" s="35">
        <v>1638</v>
      </c>
      <c r="G360" s="34">
        <v>196.26</v>
      </c>
      <c r="H360" s="34">
        <v>0</v>
      </c>
      <c r="I360" s="34">
        <v>1834.26</v>
      </c>
      <c r="J360" s="34">
        <v>330.95</v>
      </c>
      <c r="K360" s="34">
        <v>2165.21</v>
      </c>
      <c r="L360" s="33" t="s">
        <v>14</v>
      </c>
      <c r="M360" s="34">
        <f t="shared" si="41"/>
        <v>19.206910994764399</v>
      </c>
      <c r="N360" s="27">
        <v>95.5</v>
      </c>
      <c r="O360" s="34">
        <f t="shared" si="44"/>
        <v>148.8535602094241</v>
      </c>
      <c r="P360" s="35">
        <f t="shared" si="45"/>
        <v>29.77</v>
      </c>
      <c r="Q360" s="40">
        <f t="shared" si="43"/>
        <v>297.70712041884821</v>
      </c>
      <c r="R360" s="35"/>
    </row>
    <row r="361" spans="1:18" x14ac:dyDescent="0.3">
      <c r="A361" s="32">
        <v>43777</v>
      </c>
      <c r="B361" s="33" t="s">
        <v>101</v>
      </c>
      <c r="C361" s="34">
        <v>2169</v>
      </c>
      <c r="D361" s="33">
        <v>80</v>
      </c>
      <c r="E361" s="35">
        <v>312.06</v>
      </c>
      <c r="F361" s="35">
        <v>2169</v>
      </c>
      <c r="G361" s="34">
        <v>312.06</v>
      </c>
      <c r="H361" s="34">
        <v>0</v>
      </c>
      <c r="I361" s="34">
        <v>2481.06</v>
      </c>
      <c r="J361" s="34">
        <v>391.03</v>
      </c>
      <c r="K361" s="34">
        <v>2872.09</v>
      </c>
      <c r="L361" s="33" t="s">
        <v>14</v>
      </c>
      <c r="M361" s="34">
        <f t="shared" si="41"/>
        <v>20.589709543568464</v>
      </c>
      <c r="N361" s="27">
        <v>120.5</v>
      </c>
      <c r="O361" s="34">
        <f t="shared" si="44"/>
        <v>416.94161825726138</v>
      </c>
      <c r="P361" s="35">
        <f t="shared" si="45"/>
        <v>83.39</v>
      </c>
      <c r="Q361" s="40">
        <f t="shared" si="43"/>
        <v>833.88323651452276</v>
      </c>
      <c r="R361" s="35"/>
    </row>
    <row r="362" spans="1:18" x14ac:dyDescent="0.3">
      <c r="A362" s="32">
        <v>43791</v>
      </c>
      <c r="B362" s="33" t="s">
        <v>101</v>
      </c>
      <c r="C362" s="34">
        <v>1531</v>
      </c>
      <c r="D362" s="36">
        <v>66.5</v>
      </c>
      <c r="E362" s="35">
        <v>177.52</v>
      </c>
      <c r="F362" s="35">
        <v>1531</v>
      </c>
      <c r="G362" s="34">
        <v>177.52</v>
      </c>
      <c r="H362" s="34">
        <v>0</v>
      </c>
      <c r="I362" s="34">
        <v>1708.52</v>
      </c>
      <c r="J362" s="34">
        <v>319.27</v>
      </c>
      <c r="K362" s="34">
        <v>2027.79</v>
      </c>
      <c r="L362" s="33" t="s">
        <v>14</v>
      </c>
      <c r="M362" s="34">
        <f t="shared" si="41"/>
        <v>19.089608938547485</v>
      </c>
      <c r="N362" s="27">
        <v>89.5</v>
      </c>
      <c r="O362" s="38">
        <f>(M362*0.5)*26.5</f>
        <v>252.93731843575418</v>
      </c>
      <c r="P362" s="35">
        <f t="shared" si="45"/>
        <v>48.06</v>
      </c>
      <c r="Q362" s="40">
        <f t="shared" si="43"/>
        <v>505.87463687150836</v>
      </c>
      <c r="R362" s="35"/>
    </row>
    <row r="363" spans="1:18" x14ac:dyDescent="0.3">
      <c r="A363" s="29">
        <v>44009</v>
      </c>
      <c r="B363" s="36" t="s">
        <v>103</v>
      </c>
      <c r="C363" s="34">
        <v>1667.22</v>
      </c>
      <c r="D363" s="31">
        <v>88.5</v>
      </c>
      <c r="E363" s="35"/>
      <c r="F363" s="35">
        <v>1855</v>
      </c>
      <c r="G363" s="34"/>
      <c r="H363" s="34"/>
      <c r="I363" s="34"/>
      <c r="J363" s="34"/>
      <c r="K363" s="34"/>
      <c r="L363" s="33"/>
      <c r="M363" s="38">
        <v>26.26</v>
      </c>
      <c r="N363" s="27">
        <v>88.5</v>
      </c>
      <c r="O363" s="42">
        <v>0</v>
      </c>
      <c r="P363" s="35">
        <f t="shared" si="45"/>
        <v>0</v>
      </c>
      <c r="Q363" s="40">
        <f t="shared" si="43"/>
        <v>0</v>
      </c>
      <c r="R363" s="49">
        <v>556.29999999999995</v>
      </c>
    </row>
    <row r="364" spans="1:18" x14ac:dyDescent="0.3">
      <c r="A364" s="29">
        <v>44023</v>
      </c>
      <c r="B364" s="36" t="s">
        <v>103</v>
      </c>
      <c r="C364" s="34">
        <v>1053.48</v>
      </c>
      <c r="D364" s="31">
        <v>80.5</v>
      </c>
      <c r="E364" s="35"/>
      <c r="F364" s="35">
        <v>1615</v>
      </c>
      <c r="G364" s="34"/>
      <c r="H364" s="34"/>
      <c r="I364" s="34"/>
      <c r="J364" s="34"/>
      <c r="K364" s="34"/>
      <c r="L364" s="33"/>
      <c r="M364" s="38">
        <v>26.26</v>
      </c>
      <c r="N364" s="27">
        <v>80.5</v>
      </c>
      <c r="O364" s="42">
        <v>0</v>
      </c>
      <c r="P364" s="35">
        <f t="shared" si="45"/>
        <v>0</v>
      </c>
      <c r="Q364" s="40">
        <f t="shared" si="43"/>
        <v>0</v>
      </c>
      <c r="R364" s="35"/>
    </row>
    <row r="365" spans="1:18" hidden="1" x14ac:dyDescent="0.3">
      <c r="A365" s="37" t="s">
        <v>77</v>
      </c>
      <c r="B365" s="33" t="s">
        <v>104</v>
      </c>
      <c r="C365" s="34">
        <v>1044</v>
      </c>
      <c r="D365" s="33">
        <v>80</v>
      </c>
      <c r="E365" s="33">
        <v>135.72</v>
      </c>
      <c r="F365" s="33">
        <v>1044</v>
      </c>
      <c r="G365" s="34">
        <v>135.72</v>
      </c>
      <c r="H365" s="34">
        <v>0</v>
      </c>
      <c r="I365" s="34">
        <v>1179.72</v>
      </c>
      <c r="J365" s="34">
        <v>277.22000000000003</v>
      </c>
      <c r="K365" s="34">
        <v>1456.94</v>
      </c>
      <c r="L365" s="33">
        <v>100188</v>
      </c>
      <c r="M365" s="34" t="e">
        <f t="shared" si="41"/>
        <v>#DIV/0!</v>
      </c>
      <c r="N365" s="27"/>
      <c r="O365" s="34" t="e">
        <f t="shared" si="44"/>
        <v>#DIV/0!</v>
      </c>
      <c r="P365" s="35" t="e">
        <f t="shared" si="45"/>
        <v>#VALUE!</v>
      </c>
      <c r="Q365" s="34" t="e">
        <f t="shared" ref="Q365:Q430" si="46">O365*1.5</f>
        <v>#DIV/0!</v>
      </c>
      <c r="R365" s="35">
        <v>409.55</v>
      </c>
    </row>
    <row r="366" spans="1:18" x14ac:dyDescent="0.3">
      <c r="A366" s="32">
        <v>43791</v>
      </c>
      <c r="B366" s="33" t="s">
        <v>104</v>
      </c>
      <c r="C366" s="34">
        <v>2376</v>
      </c>
      <c r="D366" s="33">
        <v>80</v>
      </c>
      <c r="E366" s="35">
        <v>399</v>
      </c>
      <c r="F366" s="35">
        <v>2520</v>
      </c>
      <c r="G366" s="34">
        <v>399</v>
      </c>
      <c r="H366" s="34">
        <v>144</v>
      </c>
      <c r="I366" s="34">
        <v>2919</v>
      </c>
      <c r="J366" s="34">
        <v>449.22</v>
      </c>
      <c r="K366" s="34">
        <v>3368.22</v>
      </c>
      <c r="L366" s="33">
        <v>100189</v>
      </c>
      <c r="M366" s="34">
        <f t="shared" si="41"/>
        <v>20.85</v>
      </c>
      <c r="N366" s="27">
        <v>140</v>
      </c>
      <c r="O366" s="34">
        <f t="shared" si="44"/>
        <v>625.5</v>
      </c>
      <c r="P366" s="35">
        <f t="shared" si="45"/>
        <v>118.85</v>
      </c>
      <c r="Q366" s="40">
        <f t="shared" ref="Q366:Q381" si="47">O366*2</f>
        <v>1251</v>
      </c>
      <c r="R366" s="35">
        <v>556.29999999999995</v>
      </c>
    </row>
    <row r="367" spans="1:18" x14ac:dyDescent="0.3">
      <c r="A367" s="32">
        <v>43805</v>
      </c>
      <c r="B367" s="33" t="s">
        <v>104</v>
      </c>
      <c r="C367" s="34">
        <v>1845</v>
      </c>
      <c r="D367" s="36">
        <v>69</v>
      </c>
      <c r="E367" s="35">
        <v>241.41</v>
      </c>
      <c r="F367" s="35">
        <v>1845</v>
      </c>
      <c r="G367" s="34">
        <v>241.41</v>
      </c>
      <c r="H367" s="34">
        <v>0</v>
      </c>
      <c r="I367" s="34">
        <v>2086.41</v>
      </c>
      <c r="J367" s="34">
        <v>366.89</v>
      </c>
      <c r="K367" s="34">
        <v>2453.3000000000002</v>
      </c>
      <c r="L367" s="33" t="s">
        <v>14</v>
      </c>
      <c r="M367" s="34">
        <f t="shared" si="41"/>
        <v>20.35521951219512</v>
      </c>
      <c r="N367" s="27">
        <v>102.5</v>
      </c>
      <c r="O367" s="38">
        <f>(M367*0.5)*29</f>
        <v>295.15068292682923</v>
      </c>
      <c r="P367" s="35">
        <f t="shared" si="45"/>
        <v>56.08</v>
      </c>
      <c r="Q367" s="40">
        <f t="shared" si="47"/>
        <v>590.30136585365847</v>
      </c>
      <c r="R367" s="35"/>
    </row>
    <row r="368" spans="1:18" x14ac:dyDescent="0.3">
      <c r="A368" s="32">
        <v>43819</v>
      </c>
      <c r="B368" s="33" t="s">
        <v>104</v>
      </c>
      <c r="C368" s="34">
        <v>1530</v>
      </c>
      <c r="D368" s="36">
        <v>57.5</v>
      </c>
      <c r="E368" s="35">
        <v>177.43</v>
      </c>
      <c r="F368" s="35">
        <v>1530</v>
      </c>
      <c r="G368" s="34">
        <v>177.43</v>
      </c>
      <c r="H368" s="34">
        <v>0</v>
      </c>
      <c r="I368" s="34">
        <v>1707.43</v>
      </c>
      <c r="J368" s="34">
        <v>324.05</v>
      </c>
      <c r="K368" s="34">
        <v>2031.48</v>
      </c>
      <c r="L368" s="33" t="s">
        <v>14</v>
      </c>
      <c r="M368" s="34">
        <f t="shared" si="41"/>
        <v>20.087411764705884</v>
      </c>
      <c r="N368" s="27">
        <v>85</v>
      </c>
      <c r="O368" s="38">
        <f>(M368*0.5)*17.5</f>
        <v>175.76485294117649</v>
      </c>
      <c r="P368" s="35">
        <f t="shared" si="45"/>
        <v>31.64</v>
      </c>
      <c r="Q368" s="40">
        <f t="shared" si="47"/>
        <v>351.52970588235297</v>
      </c>
      <c r="R368" s="35"/>
    </row>
    <row r="369" spans="1:18" x14ac:dyDescent="0.3">
      <c r="A369" s="32">
        <v>43833</v>
      </c>
      <c r="B369" s="33" t="s">
        <v>104</v>
      </c>
      <c r="C369" s="34">
        <v>612</v>
      </c>
      <c r="D369" s="30">
        <v>34</v>
      </c>
      <c r="E369" s="35">
        <v>72.13</v>
      </c>
      <c r="F369" s="35">
        <v>612</v>
      </c>
      <c r="G369" s="34">
        <v>72.13</v>
      </c>
      <c r="H369" s="34">
        <v>0</v>
      </c>
      <c r="I369" s="34">
        <v>684.13</v>
      </c>
      <c r="J369" s="34">
        <v>135.88999999999999</v>
      </c>
      <c r="K369" s="34">
        <v>820.02</v>
      </c>
      <c r="L369" s="33" t="s">
        <v>14</v>
      </c>
      <c r="M369" s="34">
        <f t="shared" si="41"/>
        <v>20.121470588235294</v>
      </c>
      <c r="N369" s="27">
        <v>34</v>
      </c>
      <c r="O369" s="34">
        <v>0</v>
      </c>
      <c r="P369" s="35">
        <f t="shared" si="45"/>
        <v>0</v>
      </c>
      <c r="Q369" s="40">
        <f t="shared" si="47"/>
        <v>0</v>
      </c>
      <c r="R369" s="35"/>
    </row>
    <row r="370" spans="1:18" x14ac:dyDescent="0.3">
      <c r="A370" s="32">
        <v>43861</v>
      </c>
      <c r="B370" s="33" t="s">
        <v>104</v>
      </c>
      <c r="C370" s="34">
        <v>2428</v>
      </c>
      <c r="D370" s="36">
        <v>52.5</v>
      </c>
      <c r="E370" s="35"/>
      <c r="F370" s="49">
        <v>1440</v>
      </c>
      <c r="G370" s="34">
        <v>296.99</v>
      </c>
      <c r="H370" s="34">
        <v>12</v>
      </c>
      <c r="I370" s="34">
        <v>2736.99</v>
      </c>
      <c r="J370" s="34">
        <v>385.8</v>
      </c>
      <c r="K370" s="34">
        <v>3122.79</v>
      </c>
      <c r="L370" s="33" t="s">
        <v>14</v>
      </c>
      <c r="M370" s="34">
        <f t="shared" si="41"/>
        <v>20</v>
      </c>
      <c r="N370" s="27">
        <v>72</v>
      </c>
      <c r="O370" s="38">
        <f>(M370*0.5)*12.5</f>
        <v>125</v>
      </c>
      <c r="P370" s="35">
        <f t="shared" si="45"/>
        <v>21.25</v>
      </c>
      <c r="Q370" s="40">
        <f t="shared" si="47"/>
        <v>250</v>
      </c>
      <c r="R370" s="35"/>
    </row>
    <row r="371" spans="1:18" x14ac:dyDescent="0.3">
      <c r="A371" s="32">
        <v>43875</v>
      </c>
      <c r="B371" s="33" t="s">
        <v>104</v>
      </c>
      <c r="C371" s="34">
        <v>1895</v>
      </c>
      <c r="D371" s="36">
        <v>59.5</v>
      </c>
      <c r="E371" s="35"/>
      <c r="F371" s="35">
        <v>1930</v>
      </c>
      <c r="G371" s="34">
        <v>201.11</v>
      </c>
      <c r="H371" s="34">
        <v>35</v>
      </c>
      <c r="I371" s="34">
        <v>2131.11</v>
      </c>
      <c r="J371" s="34">
        <v>303.3</v>
      </c>
      <c r="K371" s="34">
        <v>2434.41</v>
      </c>
      <c r="L371" s="33" t="s">
        <v>14</v>
      </c>
      <c r="M371" s="34">
        <f t="shared" si="41"/>
        <v>20</v>
      </c>
      <c r="N371" s="27">
        <v>96.5</v>
      </c>
      <c r="O371" s="38">
        <f>(M371*0.5)*19.5</f>
        <v>195</v>
      </c>
      <c r="P371" s="35">
        <f t="shared" si="45"/>
        <v>31.2</v>
      </c>
      <c r="Q371" s="40">
        <f t="shared" si="47"/>
        <v>390</v>
      </c>
      <c r="R371" s="35"/>
    </row>
    <row r="372" spans="1:18" x14ac:dyDescent="0.3">
      <c r="A372" s="32">
        <v>43889</v>
      </c>
      <c r="B372" s="33" t="s">
        <v>104</v>
      </c>
      <c r="C372" s="34">
        <v>1710</v>
      </c>
      <c r="D372" s="33">
        <v>80</v>
      </c>
      <c r="E372" s="35"/>
      <c r="F372" s="35">
        <v>1710</v>
      </c>
      <c r="G372" s="34">
        <v>168.82</v>
      </c>
      <c r="H372" s="34">
        <v>0</v>
      </c>
      <c r="I372" s="34">
        <v>1878.82</v>
      </c>
      <c r="J372" s="34">
        <v>281.54000000000002</v>
      </c>
      <c r="K372" s="34">
        <v>2160.36</v>
      </c>
      <c r="L372" s="33" t="s">
        <v>14</v>
      </c>
      <c r="M372" s="34">
        <f t="shared" si="41"/>
        <v>20</v>
      </c>
      <c r="N372" s="27">
        <v>85.5</v>
      </c>
      <c r="O372" s="34">
        <f t="shared" si="44"/>
        <v>55</v>
      </c>
      <c r="P372" s="35">
        <f t="shared" si="45"/>
        <v>8.8000000000000007</v>
      </c>
      <c r="Q372" s="40">
        <f t="shared" si="47"/>
        <v>110</v>
      </c>
      <c r="R372" s="35"/>
    </row>
    <row r="373" spans="1:18" x14ac:dyDescent="0.3">
      <c r="A373" s="32">
        <v>43903</v>
      </c>
      <c r="B373" s="33" t="s">
        <v>104</v>
      </c>
      <c r="C373" s="34">
        <v>1700</v>
      </c>
      <c r="D373" s="33">
        <v>80</v>
      </c>
      <c r="E373" s="35"/>
      <c r="F373" s="35">
        <v>1700</v>
      </c>
      <c r="G373" s="34">
        <v>168.02</v>
      </c>
      <c r="H373" s="34">
        <v>0</v>
      </c>
      <c r="I373" s="34">
        <v>1868.02</v>
      </c>
      <c r="J373" s="34">
        <v>271.77</v>
      </c>
      <c r="K373" s="34">
        <v>2139.79</v>
      </c>
      <c r="L373" s="33" t="s">
        <v>14</v>
      </c>
      <c r="M373" s="34">
        <f t="shared" si="41"/>
        <v>20</v>
      </c>
      <c r="N373" s="27">
        <v>85</v>
      </c>
      <c r="O373" s="34">
        <f t="shared" si="44"/>
        <v>50</v>
      </c>
      <c r="P373" s="35">
        <f t="shared" si="45"/>
        <v>7.5</v>
      </c>
      <c r="Q373" s="40">
        <f t="shared" si="47"/>
        <v>100</v>
      </c>
      <c r="R373" s="35"/>
    </row>
    <row r="374" spans="1:18" x14ac:dyDescent="0.3">
      <c r="A374" s="32">
        <v>43917</v>
      </c>
      <c r="B374" s="33" t="s">
        <v>104</v>
      </c>
      <c r="C374" s="34">
        <v>710.54</v>
      </c>
      <c r="D374" s="30">
        <v>31</v>
      </c>
      <c r="E374" s="35"/>
      <c r="F374" s="35">
        <v>787.5</v>
      </c>
      <c r="G374" s="34">
        <v>76.959999999999994</v>
      </c>
      <c r="H374" s="34">
        <v>0</v>
      </c>
      <c r="I374" s="34">
        <v>787.5</v>
      </c>
      <c r="J374" s="34">
        <v>122.34</v>
      </c>
      <c r="K374" s="34">
        <v>909.84</v>
      </c>
      <c r="L374" s="33" t="s">
        <v>14</v>
      </c>
      <c r="M374" s="34">
        <f t="shared" si="41"/>
        <v>22.5</v>
      </c>
      <c r="N374" s="27">
        <v>35</v>
      </c>
      <c r="O374" s="34">
        <v>0</v>
      </c>
      <c r="P374" s="35">
        <f t="shared" si="45"/>
        <v>0</v>
      </c>
      <c r="Q374" s="40">
        <f t="shared" si="47"/>
        <v>0</v>
      </c>
      <c r="R374" s="35"/>
    </row>
    <row r="375" spans="1:18" x14ac:dyDescent="0.3">
      <c r="A375" s="37">
        <v>43407</v>
      </c>
      <c r="B375" s="36" t="s">
        <v>105</v>
      </c>
      <c r="C375" s="34"/>
      <c r="D375" s="31">
        <v>47</v>
      </c>
      <c r="E375" s="35"/>
      <c r="F375" s="35"/>
      <c r="G375" s="34"/>
      <c r="H375" s="34"/>
      <c r="I375" s="34"/>
      <c r="J375" s="34"/>
      <c r="K375" s="34"/>
      <c r="L375" s="33"/>
      <c r="M375" s="38">
        <v>33.200000000000003</v>
      </c>
      <c r="N375" s="30">
        <v>47</v>
      </c>
      <c r="O375" s="50">
        <f>(M375*40)+(M375*1.5)*7</f>
        <v>1676.6</v>
      </c>
      <c r="P375" s="35">
        <f t="shared" si="45"/>
        <v>536.51</v>
      </c>
      <c r="Q375" s="40">
        <f t="shared" si="47"/>
        <v>3353.2</v>
      </c>
      <c r="R375" s="35">
        <v>556.29999999999995</v>
      </c>
    </row>
    <row r="376" spans="1:18" x14ac:dyDescent="0.3">
      <c r="A376" s="37">
        <v>43421</v>
      </c>
      <c r="B376" s="36" t="s">
        <v>105</v>
      </c>
      <c r="C376" s="34"/>
      <c r="D376" s="31">
        <v>125</v>
      </c>
      <c r="E376" s="35"/>
      <c r="F376" s="35"/>
      <c r="G376" s="34"/>
      <c r="H376" s="34"/>
      <c r="I376" s="34"/>
      <c r="J376" s="34"/>
      <c r="K376" s="34"/>
      <c r="L376" s="33"/>
      <c r="M376" s="38">
        <v>33.200000000000003</v>
      </c>
      <c r="N376" s="30">
        <v>125</v>
      </c>
      <c r="O376" s="50">
        <f>(M376*80)+(N376-80)*(M376*1.5)</f>
        <v>4897</v>
      </c>
      <c r="P376" s="35">
        <f t="shared" si="45"/>
        <v>1518.07</v>
      </c>
      <c r="Q376" s="40">
        <f t="shared" si="47"/>
        <v>9794</v>
      </c>
      <c r="R376" s="35"/>
    </row>
    <row r="377" spans="1:18" x14ac:dyDescent="0.3">
      <c r="A377" s="37">
        <v>43800</v>
      </c>
      <c r="B377" s="36" t="s">
        <v>105</v>
      </c>
      <c r="C377" s="34"/>
      <c r="D377" s="31">
        <v>61.5</v>
      </c>
      <c r="E377" s="35"/>
      <c r="F377" s="35"/>
      <c r="G377" s="34"/>
      <c r="H377" s="34"/>
      <c r="I377" s="34"/>
      <c r="J377" s="34"/>
      <c r="K377" s="34"/>
      <c r="L377" s="33"/>
      <c r="M377" s="38">
        <v>33.200000000000003</v>
      </c>
      <c r="N377" s="30">
        <v>61.5</v>
      </c>
      <c r="O377" s="50">
        <f>(M377*55)+(M377*1.5)*6.5</f>
        <v>2149.7000000000003</v>
      </c>
      <c r="P377" s="35">
        <f t="shared" si="45"/>
        <v>408.44</v>
      </c>
      <c r="Q377" s="40">
        <f t="shared" si="47"/>
        <v>4299.4000000000005</v>
      </c>
      <c r="R377" s="35"/>
    </row>
    <row r="378" spans="1:18" x14ac:dyDescent="0.3">
      <c r="A378" s="37">
        <v>43814</v>
      </c>
      <c r="B378" s="36" t="s">
        <v>105</v>
      </c>
      <c r="C378" s="34"/>
      <c r="D378" s="31">
        <v>121</v>
      </c>
      <c r="E378" s="35"/>
      <c r="F378" s="35"/>
      <c r="G378" s="34"/>
      <c r="H378" s="34"/>
      <c r="I378" s="34"/>
      <c r="J378" s="34"/>
      <c r="K378" s="34"/>
      <c r="L378" s="33"/>
      <c r="M378" s="38">
        <v>33.200000000000003</v>
      </c>
      <c r="N378" s="30">
        <v>121</v>
      </c>
      <c r="O378" s="50">
        <f t="shared" ref="O378:O380" si="48">(M378*80)+(N378-80)*(M378*1.5)</f>
        <v>4697.8</v>
      </c>
      <c r="P378" s="35">
        <f t="shared" si="45"/>
        <v>845.6</v>
      </c>
      <c r="Q378" s="40">
        <f t="shared" si="47"/>
        <v>9395.6</v>
      </c>
      <c r="R378" s="35"/>
    </row>
    <row r="379" spans="1:18" x14ac:dyDescent="0.3">
      <c r="A379" s="37">
        <v>43463</v>
      </c>
      <c r="B379" s="36" t="s">
        <v>105</v>
      </c>
      <c r="C379" s="34"/>
      <c r="D379" s="31">
        <v>87.5</v>
      </c>
      <c r="E379" s="35"/>
      <c r="F379" s="35"/>
      <c r="G379" s="34"/>
      <c r="H379" s="34"/>
      <c r="I379" s="34"/>
      <c r="J379" s="34"/>
      <c r="K379" s="34"/>
      <c r="L379" s="33"/>
      <c r="M379" s="38">
        <v>33.200000000000003</v>
      </c>
      <c r="N379" s="30">
        <v>87.5</v>
      </c>
      <c r="O379" s="50">
        <f t="shared" si="48"/>
        <v>3029.5</v>
      </c>
      <c r="P379" s="35">
        <f t="shared" si="45"/>
        <v>908.85</v>
      </c>
      <c r="Q379" s="40">
        <f t="shared" si="47"/>
        <v>6059</v>
      </c>
      <c r="R379" s="35"/>
    </row>
    <row r="380" spans="1:18" x14ac:dyDescent="0.3">
      <c r="A380" s="37">
        <v>43491</v>
      </c>
      <c r="B380" s="36" t="s">
        <v>105</v>
      </c>
      <c r="C380" s="34"/>
      <c r="D380" s="31">
        <v>121.5</v>
      </c>
      <c r="E380" s="35"/>
      <c r="F380" s="35"/>
      <c r="G380" s="34"/>
      <c r="H380" s="34"/>
      <c r="I380" s="34"/>
      <c r="J380" s="34"/>
      <c r="K380" s="34"/>
      <c r="L380" s="33"/>
      <c r="M380" s="38">
        <v>33.200000000000003</v>
      </c>
      <c r="N380" s="30">
        <v>121.5</v>
      </c>
      <c r="O380" s="50">
        <f t="shared" si="48"/>
        <v>4722.7000000000007</v>
      </c>
      <c r="P380" s="35">
        <f t="shared" si="45"/>
        <v>1369.58</v>
      </c>
      <c r="Q380" s="40">
        <f t="shared" si="47"/>
        <v>9445.4000000000015</v>
      </c>
      <c r="R380" s="35"/>
    </row>
    <row r="381" spans="1:18" x14ac:dyDescent="0.3">
      <c r="A381" s="37">
        <v>43505</v>
      </c>
      <c r="B381" s="36" t="s">
        <v>105</v>
      </c>
      <c r="C381" s="34"/>
      <c r="D381" s="31">
        <v>28</v>
      </c>
      <c r="E381" s="35"/>
      <c r="F381" s="35"/>
      <c r="G381" s="34"/>
      <c r="H381" s="34"/>
      <c r="I381" s="34"/>
      <c r="J381" s="34"/>
      <c r="K381" s="34"/>
      <c r="L381" s="33"/>
      <c r="M381" s="38">
        <v>33.200000000000003</v>
      </c>
      <c r="N381" s="30">
        <v>28</v>
      </c>
      <c r="O381" s="50">
        <f>M381*N381</f>
        <v>929.60000000000014</v>
      </c>
      <c r="P381" s="35">
        <f t="shared" si="45"/>
        <v>269.58</v>
      </c>
      <c r="Q381" s="40">
        <f t="shared" si="47"/>
        <v>1859.2000000000003</v>
      </c>
      <c r="R381" s="35"/>
    </row>
    <row r="382" spans="1:18" hidden="1" x14ac:dyDescent="0.3">
      <c r="A382" s="37" t="s">
        <v>77</v>
      </c>
      <c r="B382" s="33" t="s">
        <v>105</v>
      </c>
      <c r="C382" s="34">
        <v>2100</v>
      </c>
      <c r="D382" s="33">
        <v>80</v>
      </c>
      <c r="E382" s="33">
        <v>326.33999999999997</v>
      </c>
      <c r="F382" s="33">
        <v>2000</v>
      </c>
      <c r="G382" s="34">
        <v>226.34</v>
      </c>
      <c r="H382" s="34">
        <v>0</v>
      </c>
      <c r="I382" s="34">
        <v>2326.34</v>
      </c>
      <c r="J382" s="34">
        <v>394.57</v>
      </c>
      <c r="K382" s="34">
        <v>2720.91</v>
      </c>
      <c r="L382" s="33">
        <v>100167</v>
      </c>
      <c r="M382" s="34" t="e">
        <f t="shared" si="41"/>
        <v>#DIV/0!</v>
      </c>
      <c r="N382" s="27"/>
      <c r="O382" s="34" t="e">
        <f t="shared" si="44"/>
        <v>#DIV/0!</v>
      </c>
      <c r="P382" s="35" t="e">
        <f t="shared" si="45"/>
        <v>#VALUE!</v>
      </c>
      <c r="Q382" s="34" t="e">
        <f t="shared" si="46"/>
        <v>#DIV/0!</v>
      </c>
      <c r="R382" s="35">
        <v>409.55</v>
      </c>
    </row>
    <row r="383" spans="1:18" hidden="1" x14ac:dyDescent="0.3">
      <c r="A383" s="37" t="s">
        <v>77</v>
      </c>
      <c r="B383" s="33" t="s">
        <v>105</v>
      </c>
      <c r="C383" s="34">
        <v>2300</v>
      </c>
      <c r="D383" s="33">
        <v>80</v>
      </c>
      <c r="E383" s="33">
        <v>837.96</v>
      </c>
      <c r="F383" s="33">
        <v>2000</v>
      </c>
      <c r="G383" s="34">
        <v>537.96</v>
      </c>
      <c r="H383" s="34">
        <v>0</v>
      </c>
      <c r="I383" s="34">
        <v>2837.96</v>
      </c>
      <c r="J383" s="34">
        <v>446.05</v>
      </c>
      <c r="K383" s="34">
        <v>3284.01</v>
      </c>
      <c r="L383" s="33">
        <v>100163</v>
      </c>
      <c r="M383" s="34" t="e">
        <f t="shared" si="41"/>
        <v>#DIV/0!</v>
      </c>
      <c r="N383" s="27"/>
      <c r="O383" s="34" t="e">
        <f t="shared" si="44"/>
        <v>#DIV/0!</v>
      </c>
      <c r="P383" s="35" t="e">
        <f t="shared" si="45"/>
        <v>#VALUE!</v>
      </c>
      <c r="Q383" s="34" t="e">
        <f t="shared" si="46"/>
        <v>#DIV/0!</v>
      </c>
      <c r="R383" s="35"/>
    </row>
    <row r="384" spans="1:18" hidden="1" x14ac:dyDescent="0.3">
      <c r="A384" s="37" t="s">
        <v>77</v>
      </c>
      <c r="B384" s="33" t="s">
        <v>105</v>
      </c>
      <c r="C384" s="34">
        <v>2310</v>
      </c>
      <c r="D384" s="33">
        <v>80</v>
      </c>
      <c r="E384" s="33">
        <v>850.43</v>
      </c>
      <c r="F384" s="33">
        <v>2000</v>
      </c>
      <c r="G384" s="34">
        <v>540.42999999999995</v>
      </c>
      <c r="H384" s="34">
        <v>0</v>
      </c>
      <c r="I384" s="34">
        <v>2850.43</v>
      </c>
      <c r="J384" s="34">
        <v>441.19</v>
      </c>
      <c r="K384" s="34">
        <v>3291.62</v>
      </c>
      <c r="L384" s="33">
        <v>100168</v>
      </c>
      <c r="M384" s="34" t="e">
        <f t="shared" si="41"/>
        <v>#DIV/0!</v>
      </c>
      <c r="N384" s="27"/>
      <c r="O384" s="34" t="e">
        <f t="shared" si="44"/>
        <v>#DIV/0!</v>
      </c>
      <c r="P384" s="35" t="e">
        <f t="shared" si="45"/>
        <v>#VALUE!</v>
      </c>
      <c r="Q384" s="34" t="e">
        <f t="shared" si="46"/>
        <v>#DIV/0!</v>
      </c>
      <c r="R384" s="35"/>
    </row>
    <row r="385" spans="1:18" hidden="1" x14ac:dyDescent="0.3">
      <c r="A385" s="37" t="s">
        <v>77</v>
      </c>
      <c r="B385" s="33" t="s">
        <v>105</v>
      </c>
      <c r="C385" s="34">
        <v>2310</v>
      </c>
      <c r="D385" s="33">
        <v>80</v>
      </c>
      <c r="E385" s="33">
        <v>850.44</v>
      </c>
      <c r="F385" s="33">
        <v>2000</v>
      </c>
      <c r="G385" s="34">
        <v>540.44000000000005</v>
      </c>
      <c r="H385" s="34">
        <v>0</v>
      </c>
      <c r="I385" s="34">
        <v>2850.44</v>
      </c>
      <c r="J385" s="34">
        <v>430.19</v>
      </c>
      <c r="K385" s="34">
        <v>3280.63</v>
      </c>
      <c r="L385" s="33" t="s">
        <v>14</v>
      </c>
      <c r="M385" s="34" t="e">
        <f t="shared" si="41"/>
        <v>#DIV/0!</v>
      </c>
      <c r="N385" s="27"/>
      <c r="O385" s="34" t="e">
        <f t="shared" si="44"/>
        <v>#DIV/0!</v>
      </c>
      <c r="P385" s="35" t="e">
        <f t="shared" si="45"/>
        <v>#VALUE!</v>
      </c>
      <c r="Q385" s="34" t="e">
        <f t="shared" si="46"/>
        <v>#DIV/0!</v>
      </c>
      <c r="R385" s="35"/>
    </row>
    <row r="386" spans="1:18" x14ac:dyDescent="0.3">
      <c r="A386" s="32">
        <v>43581</v>
      </c>
      <c r="B386" s="33" t="s">
        <v>105</v>
      </c>
      <c r="C386" s="34">
        <v>2150</v>
      </c>
      <c r="D386" s="30">
        <v>59</v>
      </c>
      <c r="E386" s="35">
        <v>650.67999999999995</v>
      </c>
      <c r="F386" s="35">
        <v>2000</v>
      </c>
      <c r="G386" s="34">
        <v>500.68</v>
      </c>
      <c r="H386" s="34">
        <v>0</v>
      </c>
      <c r="I386" s="34">
        <v>2650.68</v>
      </c>
      <c r="J386" s="34">
        <v>406.79</v>
      </c>
      <c r="K386" s="34">
        <v>3057.47</v>
      </c>
      <c r="L386" s="33" t="s">
        <v>14</v>
      </c>
      <c r="M386" s="34">
        <f t="shared" si="41"/>
        <v>44.926779661016944</v>
      </c>
      <c r="N386" s="53">
        <v>59</v>
      </c>
      <c r="O386" s="34">
        <v>0</v>
      </c>
      <c r="P386" s="35">
        <f t="shared" si="45"/>
        <v>0</v>
      </c>
      <c r="Q386" s="40">
        <f t="shared" ref="Q386:Q397" si="49">O386*2</f>
        <v>0</v>
      </c>
      <c r="R386" s="35"/>
    </row>
    <row r="387" spans="1:18" x14ac:dyDescent="0.3">
      <c r="A387" s="32">
        <v>43595</v>
      </c>
      <c r="B387" s="33" t="s">
        <v>105</v>
      </c>
      <c r="C387" s="34">
        <v>2570</v>
      </c>
      <c r="D387" s="33">
        <v>80</v>
      </c>
      <c r="E387" s="35">
        <v>1175.03</v>
      </c>
      <c r="F387" s="35">
        <v>2000</v>
      </c>
      <c r="G387" s="34">
        <v>605.03</v>
      </c>
      <c r="H387" s="34">
        <v>0</v>
      </c>
      <c r="I387" s="34">
        <v>3175.03</v>
      </c>
      <c r="J387" s="34">
        <v>455.5</v>
      </c>
      <c r="K387" s="34">
        <v>3630.53</v>
      </c>
      <c r="L387" s="33" t="s">
        <v>14</v>
      </c>
      <c r="M387" s="34">
        <f t="shared" si="41"/>
        <v>32.901865284974093</v>
      </c>
      <c r="N387" s="27">
        <v>96.5</v>
      </c>
      <c r="O387" s="34">
        <f t="shared" si="44"/>
        <v>271.44038860103626</v>
      </c>
      <c r="P387" s="35">
        <f t="shared" si="45"/>
        <v>70.569999999999993</v>
      </c>
      <c r="Q387" s="40">
        <f t="shared" si="49"/>
        <v>542.88077720207252</v>
      </c>
      <c r="R387" s="35"/>
    </row>
    <row r="388" spans="1:18" x14ac:dyDescent="0.3">
      <c r="A388" s="32">
        <v>43609</v>
      </c>
      <c r="B388" s="33" t="s">
        <v>105</v>
      </c>
      <c r="C388" s="34">
        <v>2570</v>
      </c>
      <c r="D388" s="33">
        <v>80</v>
      </c>
      <c r="E388" s="35">
        <v>1175.04</v>
      </c>
      <c r="F388" s="35">
        <v>2000</v>
      </c>
      <c r="G388" s="34">
        <v>605.04</v>
      </c>
      <c r="H388" s="34">
        <v>0</v>
      </c>
      <c r="I388" s="34">
        <v>3175.04</v>
      </c>
      <c r="J388" s="34">
        <v>455.52</v>
      </c>
      <c r="K388" s="34">
        <v>3630.56</v>
      </c>
      <c r="L388" s="33" t="s">
        <v>14</v>
      </c>
      <c r="M388" s="34">
        <f t="shared" si="41"/>
        <v>36.919069767441862</v>
      </c>
      <c r="N388" s="27">
        <v>86</v>
      </c>
      <c r="O388" s="34">
        <f t="shared" si="44"/>
        <v>110.75720930232558</v>
      </c>
      <c r="P388" s="35">
        <f t="shared" si="45"/>
        <v>27.69</v>
      </c>
      <c r="Q388" s="40">
        <f t="shared" si="49"/>
        <v>221.51441860465115</v>
      </c>
      <c r="R388" s="35"/>
    </row>
    <row r="389" spans="1:18" x14ac:dyDescent="0.3">
      <c r="A389" s="32">
        <v>43623</v>
      </c>
      <c r="B389" s="33" t="s">
        <v>105</v>
      </c>
      <c r="C389" s="34">
        <v>2060</v>
      </c>
      <c r="D389" s="36">
        <v>56</v>
      </c>
      <c r="E389" s="35">
        <v>538.29</v>
      </c>
      <c r="F389" s="35">
        <v>2000</v>
      </c>
      <c r="G389" s="34">
        <v>478.29</v>
      </c>
      <c r="H389" s="34">
        <v>0</v>
      </c>
      <c r="I389" s="34">
        <v>2538.29</v>
      </c>
      <c r="J389" s="34">
        <v>396.34</v>
      </c>
      <c r="K389" s="34">
        <v>2934.63</v>
      </c>
      <c r="L389" s="33" t="s">
        <v>14</v>
      </c>
      <c r="M389" s="34">
        <f t="shared" si="41"/>
        <v>37.327794117647059</v>
      </c>
      <c r="N389" s="27">
        <v>68</v>
      </c>
      <c r="O389" s="38">
        <f>(M389*0.5)*16</f>
        <v>298.62235294117647</v>
      </c>
      <c r="P389" s="35">
        <f t="shared" si="45"/>
        <v>74.66</v>
      </c>
      <c r="Q389" s="40">
        <f t="shared" si="49"/>
        <v>597.24470588235295</v>
      </c>
      <c r="R389" s="35"/>
    </row>
    <row r="390" spans="1:18" x14ac:dyDescent="0.3">
      <c r="A390" s="32">
        <v>43637</v>
      </c>
      <c r="B390" s="33" t="s">
        <v>105</v>
      </c>
      <c r="C390" s="34">
        <v>3020</v>
      </c>
      <c r="D390" s="33">
        <v>80</v>
      </c>
      <c r="E390" s="35">
        <v>1772.02</v>
      </c>
      <c r="F390" s="35">
        <v>2000</v>
      </c>
      <c r="G390" s="34">
        <v>752.02</v>
      </c>
      <c r="H390" s="34">
        <v>0</v>
      </c>
      <c r="I390" s="34">
        <v>3772.02</v>
      </c>
      <c r="J390" s="34">
        <v>510.97</v>
      </c>
      <c r="K390" s="34">
        <v>4282.99</v>
      </c>
      <c r="L390" s="33" t="s">
        <v>14</v>
      </c>
      <c r="M390" s="34">
        <f t="shared" si="41"/>
        <v>24.980264900662252</v>
      </c>
      <c r="N390" s="27">
        <v>151</v>
      </c>
      <c r="O390" s="34">
        <f t="shared" si="44"/>
        <v>886.79940397350992</v>
      </c>
      <c r="P390" s="35">
        <f t="shared" si="45"/>
        <v>212.83</v>
      </c>
      <c r="Q390" s="40">
        <f t="shared" si="49"/>
        <v>1773.5988079470198</v>
      </c>
      <c r="R390" s="35"/>
    </row>
    <row r="391" spans="1:18" x14ac:dyDescent="0.3">
      <c r="A391" s="32">
        <v>43651</v>
      </c>
      <c r="B391" s="33" t="s">
        <v>105</v>
      </c>
      <c r="C391" s="34">
        <v>2130</v>
      </c>
      <c r="D391" s="33">
        <v>80</v>
      </c>
      <c r="E391" s="35">
        <v>358.91</v>
      </c>
      <c r="F391" s="35">
        <v>2000</v>
      </c>
      <c r="G391" s="34">
        <v>228.91</v>
      </c>
      <c r="H391" s="34">
        <v>0</v>
      </c>
      <c r="I391" s="34">
        <v>2358.91</v>
      </c>
      <c r="J391" s="34">
        <v>379.67</v>
      </c>
      <c r="K391" s="34">
        <v>2738.58</v>
      </c>
      <c r="L391" s="33" t="s">
        <v>14</v>
      </c>
      <c r="M391" s="34">
        <f t="shared" si="41"/>
        <v>22.149389671361501</v>
      </c>
      <c r="N391" s="27">
        <v>106.5</v>
      </c>
      <c r="O391" s="34">
        <f t="shared" si="44"/>
        <v>293.47941314553987</v>
      </c>
      <c r="P391" s="35">
        <f t="shared" si="45"/>
        <v>70.44</v>
      </c>
      <c r="Q391" s="40">
        <f t="shared" si="49"/>
        <v>586.95882629107973</v>
      </c>
      <c r="R391" s="35"/>
    </row>
    <row r="392" spans="1:18" x14ac:dyDescent="0.3">
      <c r="A392" s="37">
        <v>43659</v>
      </c>
      <c r="B392" s="36" t="s">
        <v>105</v>
      </c>
      <c r="C392" s="34"/>
      <c r="D392" s="31">
        <v>91</v>
      </c>
      <c r="E392" s="35"/>
      <c r="F392" s="35"/>
      <c r="G392" s="34"/>
      <c r="H392" s="34"/>
      <c r="I392" s="34"/>
      <c r="J392" s="34"/>
      <c r="K392" s="34"/>
      <c r="L392" s="33"/>
      <c r="M392" s="38">
        <v>33.200000000000003</v>
      </c>
      <c r="N392" s="30">
        <v>91</v>
      </c>
      <c r="O392" s="50">
        <f>(M392*80)+(N392-80)*(M392*1.5)</f>
        <v>3203.8</v>
      </c>
      <c r="P392" s="35">
        <f t="shared" si="45"/>
        <v>736.87</v>
      </c>
      <c r="Q392" s="40">
        <f t="shared" si="49"/>
        <v>6407.6</v>
      </c>
      <c r="R392" s="35"/>
    </row>
    <row r="393" spans="1:18" x14ac:dyDescent="0.3">
      <c r="A393" s="37">
        <v>43674</v>
      </c>
      <c r="B393" s="36" t="s">
        <v>105</v>
      </c>
      <c r="C393" s="34"/>
      <c r="D393" s="31">
        <v>124</v>
      </c>
      <c r="E393" s="35"/>
      <c r="F393" s="35"/>
      <c r="G393" s="34"/>
      <c r="H393" s="34"/>
      <c r="I393" s="34"/>
      <c r="J393" s="34"/>
      <c r="K393" s="34"/>
      <c r="L393" s="33"/>
      <c r="M393" s="38">
        <v>33.200000000000003</v>
      </c>
      <c r="N393" s="30">
        <v>124</v>
      </c>
      <c r="O393" s="50">
        <f t="shared" ref="O393:O397" si="50">(M393*80)+(N393-80)*(M393*1.5)</f>
        <v>4847.2000000000007</v>
      </c>
      <c r="P393" s="35">
        <f t="shared" si="45"/>
        <v>1114.8599999999999</v>
      </c>
      <c r="Q393" s="40">
        <f t="shared" si="49"/>
        <v>9694.4000000000015</v>
      </c>
      <c r="R393" s="35"/>
    </row>
    <row r="394" spans="1:18" x14ac:dyDescent="0.3">
      <c r="A394" s="37">
        <v>43688</v>
      </c>
      <c r="B394" s="36" t="s">
        <v>105</v>
      </c>
      <c r="C394" s="34"/>
      <c r="D394" s="31">
        <v>123</v>
      </c>
      <c r="E394" s="35"/>
      <c r="F394" s="35"/>
      <c r="G394" s="34"/>
      <c r="H394" s="34"/>
      <c r="I394" s="34"/>
      <c r="J394" s="34"/>
      <c r="K394" s="34"/>
      <c r="L394" s="33"/>
      <c r="M394" s="38">
        <v>33.200000000000003</v>
      </c>
      <c r="N394" s="30">
        <v>123</v>
      </c>
      <c r="O394" s="50">
        <f t="shared" si="50"/>
        <v>4797.3999999999996</v>
      </c>
      <c r="P394" s="35">
        <f t="shared" si="45"/>
        <v>1103.4000000000001</v>
      </c>
      <c r="Q394" s="40">
        <f t="shared" si="49"/>
        <v>9594.7999999999993</v>
      </c>
      <c r="R394" s="35"/>
    </row>
    <row r="395" spans="1:18" x14ac:dyDescent="0.3">
      <c r="A395" s="37">
        <v>43701</v>
      </c>
      <c r="B395" s="36" t="s">
        <v>105</v>
      </c>
      <c r="C395" s="34"/>
      <c r="D395" s="31">
        <v>137</v>
      </c>
      <c r="E395" s="35"/>
      <c r="F395" s="35"/>
      <c r="G395" s="34"/>
      <c r="H395" s="34"/>
      <c r="I395" s="34"/>
      <c r="J395" s="34"/>
      <c r="K395" s="34"/>
      <c r="L395" s="33"/>
      <c r="M395" s="38">
        <v>33.200000000000003</v>
      </c>
      <c r="N395" s="30">
        <v>137</v>
      </c>
      <c r="O395" s="50">
        <f t="shared" si="50"/>
        <v>5494.6</v>
      </c>
      <c r="P395" s="35">
        <f t="shared" si="45"/>
        <v>1208.81</v>
      </c>
      <c r="Q395" s="40">
        <f t="shared" si="49"/>
        <v>10989.2</v>
      </c>
      <c r="R395" s="35"/>
    </row>
    <row r="396" spans="1:18" x14ac:dyDescent="0.3">
      <c r="A396" s="37">
        <v>43715</v>
      </c>
      <c r="B396" s="36" t="s">
        <v>105</v>
      </c>
      <c r="C396" s="34"/>
      <c r="D396" s="31">
        <v>107.5</v>
      </c>
      <c r="E396" s="35"/>
      <c r="F396" s="35"/>
      <c r="G396" s="34"/>
      <c r="H396" s="34"/>
      <c r="I396" s="34"/>
      <c r="J396" s="34"/>
      <c r="K396" s="34"/>
      <c r="L396" s="33"/>
      <c r="M396" s="38">
        <v>33.200000000000003</v>
      </c>
      <c r="N396" s="30">
        <v>107.5</v>
      </c>
      <c r="O396" s="50">
        <f t="shared" si="50"/>
        <v>4025.5</v>
      </c>
      <c r="P396" s="35">
        <f t="shared" si="45"/>
        <v>885.61</v>
      </c>
      <c r="Q396" s="40">
        <f t="shared" si="49"/>
        <v>8051</v>
      </c>
      <c r="R396" s="35"/>
    </row>
    <row r="397" spans="1:18" x14ac:dyDescent="0.3">
      <c r="A397" s="37">
        <v>43729</v>
      </c>
      <c r="B397" s="36" t="s">
        <v>105</v>
      </c>
      <c r="C397" s="34"/>
      <c r="D397" s="31">
        <v>112</v>
      </c>
      <c r="E397" s="35"/>
      <c r="F397" s="35"/>
      <c r="G397" s="34"/>
      <c r="H397" s="34"/>
      <c r="I397" s="34"/>
      <c r="J397" s="34"/>
      <c r="K397" s="34"/>
      <c r="L397" s="33"/>
      <c r="M397" s="38">
        <v>33.200000000000003</v>
      </c>
      <c r="N397" s="30">
        <v>112</v>
      </c>
      <c r="O397" s="50">
        <f t="shared" si="50"/>
        <v>4249.6000000000004</v>
      </c>
      <c r="P397" s="35">
        <f t="shared" si="45"/>
        <v>892.42</v>
      </c>
      <c r="Q397" s="40">
        <f t="shared" si="49"/>
        <v>8499.2000000000007</v>
      </c>
      <c r="R397" s="35"/>
    </row>
    <row r="398" spans="1:18" hidden="1" x14ac:dyDescent="0.3">
      <c r="A398" s="37" t="s">
        <v>77</v>
      </c>
      <c r="B398" s="33" t="s">
        <v>106</v>
      </c>
      <c r="C398" s="34">
        <v>2020</v>
      </c>
      <c r="D398" s="33">
        <v>80</v>
      </c>
      <c r="E398" s="33">
        <v>219.48</v>
      </c>
      <c r="F398" s="33">
        <v>2020</v>
      </c>
      <c r="G398" s="34">
        <v>219.48</v>
      </c>
      <c r="H398" s="34">
        <v>0</v>
      </c>
      <c r="I398" s="34">
        <v>2239.48</v>
      </c>
      <c r="J398" s="34">
        <v>385.84</v>
      </c>
      <c r="K398" s="34">
        <v>2625.32</v>
      </c>
      <c r="L398" s="33">
        <v>100151</v>
      </c>
      <c r="M398" s="34" t="e">
        <f t="shared" si="41"/>
        <v>#DIV/0!</v>
      </c>
      <c r="N398" s="27"/>
      <c r="O398" s="34" t="e">
        <f t="shared" si="44"/>
        <v>#DIV/0!</v>
      </c>
      <c r="P398" s="35" t="e">
        <f t="shared" si="45"/>
        <v>#VALUE!</v>
      </c>
      <c r="Q398" s="34" t="e">
        <f t="shared" si="46"/>
        <v>#DIV/0!</v>
      </c>
      <c r="R398" s="35">
        <v>409.55</v>
      </c>
    </row>
    <row r="399" spans="1:18" hidden="1" x14ac:dyDescent="0.3">
      <c r="A399" s="37" t="s">
        <v>77</v>
      </c>
      <c r="B399" s="33" t="s">
        <v>106</v>
      </c>
      <c r="C399" s="34">
        <v>1340</v>
      </c>
      <c r="D399" s="33">
        <v>80</v>
      </c>
      <c r="E399" s="33">
        <v>198.89</v>
      </c>
      <c r="F399" s="33">
        <v>1780</v>
      </c>
      <c r="G399" s="34">
        <v>198.89</v>
      </c>
      <c r="H399" s="34">
        <v>440</v>
      </c>
      <c r="I399" s="34">
        <v>1978.89</v>
      </c>
      <c r="J399" s="34">
        <v>359.62</v>
      </c>
      <c r="K399" s="34">
        <v>2338.5100000000002</v>
      </c>
      <c r="L399" s="33">
        <v>100161</v>
      </c>
      <c r="M399" s="34" t="e">
        <f t="shared" si="41"/>
        <v>#DIV/0!</v>
      </c>
      <c r="N399" s="27"/>
      <c r="O399" s="34" t="e">
        <f t="shared" si="44"/>
        <v>#DIV/0!</v>
      </c>
      <c r="P399" s="35" t="e">
        <f t="shared" si="45"/>
        <v>#VALUE!</v>
      </c>
      <c r="Q399" s="34" t="e">
        <f t="shared" si="46"/>
        <v>#DIV/0!</v>
      </c>
      <c r="R399" s="35"/>
    </row>
    <row r="400" spans="1:18" hidden="1" x14ac:dyDescent="0.3">
      <c r="A400" s="37" t="s">
        <v>77</v>
      </c>
      <c r="B400" s="33" t="s">
        <v>106</v>
      </c>
      <c r="C400" s="34">
        <v>1795</v>
      </c>
      <c r="D400" s="33">
        <v>80</v>
      </c>
      <c r="E400" s="33">
        <v>433.13</v>
      </c>
      <c r="F400" s="33">
        <v>1870</v>
      </c>
      <c r="G400" s="34">
        <v>433.13</v>
      </c>
      <c r="H400" s="34">
        <v>75</v>
      </c>
      <c r="I400" s="34">
        <v>2303.13</v>
      </c>
      <c r="J400" s="34">
        <v>392.22</v>
      </c>
      <c r="K400" s="34">
        <v>2695.35</v>
      </c>
      <c r="L400" s="33">
        <v>100165</v>
      </c>
      <c r="M400" s="34" t="e">
        <f t="shared" si="41"/>
        <v>#DIV/0!</v>
      </c>
      <c r="N400" s="27"/>
      <c r="O400" s="34" t="e">
        <f t="shared" si="44"/>
        <v>#DIV/0!</v>
      </c>
      <c r="P400" s="35" t="e">
        <f t="shared" si="45"/>
        <v>#VALUE!</v>
      </c>
      <c r="Q400" s="34" t="e">
        <f t="shared" si="46"/>
        <v>#DIV/0!</v>
      </c>
      <c r="R400" s="35"/>
    </row>
    <row r="401" spans="1:18" hidden="1" x14ac:dyDescent="0.3">
      <c r="A401" s="37" t="s">
        <v>77</v>
      </c>
      <c r="B401" s="33" t="s">
        <v>106</v>
      </c>
      <c r="C401" s="34">
        <v>1320</v>
      </c>
      <c r="D401" s="33">
        <v>80</v>
      </c>
      <c r="E401" s="33">
        <v>386.59</v>
      </c>
      <c r="F401" s="33">
        <v>1760</v>
      </c>
      <c r="G401" s="34">
        <v>386.59</v>
      </c>
      <c r="H401" s="34">
        <v>440</v>
      </c>
      <c r="I401" s="34">
        <v>2146.59</v>
      </c>
      <c r="J401" s="34">
        <v>366.49</v>
      </c>
      <c r="K401" s="34">
        <v>2513.08</v>
      </c>
      <c r="L401" s="33">
        <v>100170</v>
      </c>
      <c r="M401" s="34" t="e">
        <f t="shared" si="41"/>
        <v>#DIV/0!</v>
      </c>
      <c r="N401" s="27"/>
      <c r="O401" s="34" t="e">
        <f t="shared" si="44"/>
        <v>#DIV/0!</v>
      </c>
      <c r="P401" s="35" t="e">
        <f t="shared" si="45"/>
        <v>#VALUE!</v>
      </c>
      <c r="Q401" s="34" t="e">
        <f t="shared" si="46"/>
        <v>#DIV/0!</v>
      </c>
      <c r="R401" s="35"/>
    </row>
    <row r="402" spans="1:18" hidden="1" x14ac:dyDescent="0.3">
      <c r="A402" s="37" t="s">
        <v>77</v>
      </c>
      <c r="B402" s="33" t="s">
        <v>106</v>
      </c>
      <c r="C402" s="34">
        <v>1449</v>
      </c>
      <c r="D402" s="33">
        <v>69</v>
      </c>
      <c r="E402" s="33">
        <v>299</v>
      </c>
      <c r="F402" s="33">
        <v>1452</v>
      </c>
      <c r="G402" s="34">
        <v>302</v>
      </c>
      <c r="H402" s="34">
        <v>0</v>
      </c>
      <c r="I402" s="34">
        <v>1751</v>
      </c>
      <c r="J402" s="34">
        <v>301.13</v>
      </c>
      <c r="K402" s="34">
        <v>2052.13</v>
      </c>
      <c r="L402" s="33">
        <v>100177</v>
      </c>
      <c r="M402" s="34" t="e">
        <f t="shared" si="41"/>
        <v>#DIV/0!</v>
      </c>
      <c r="N402" s="27"/>
      <c r="O402" s="34" t="e">
        <f t="shared" si="44"/>
        <v>#DIV/0!</v>
      </c>
      <c r="P402" s="35" t="e">
        <f t="shared" si="45"/>
        <v>#VALUE!</v>
      </c>
      <c r="Q402" s="34" t="e">
        <f t="shared" si="46"/>
        <v>#DIV/0!</v>
      </c>
      <c r="R402" s="35"/>
    </row>
    <row r="403" spans="1:18" x14ac:dyDescent="0.3">
      <c r="A403" s="32">
        <v>43637</v>
      </c>
      <c r="B403" s="33" t="s">
        <v>106</v>
      </c>
      <c r="C403" s="34">
        <v>1500</v>
      </c>
      <c r="D403" s="36">
        <v>65</v>
      </c>
      <c r="E403" s="35">
        <v>318.64999999999998</v>
      </c>
      <c r="F403" s="35">
        <v>1500</v>
      </c>
      <c r="G403" s="34">
        <v>318.64999999999998</v>
      </c>
      <c r="H403" s="34">
        <v>0</v>
      </c>
      <c r="I403" s="34">
        <v>1818.65</v>
      </c>
      <c r="J403" s="34">
        <v>319.45</v>
      </c>
      <c r="K403" s="34">
        <v>2138.1</v>
      </c>
      <c r="L403" s="33">
        <v>100178</v>
      </c>
      <c r="M403" s="34">
        <f t="shared" si="41"/>
        <v>24.248666666666669</v>
      </c>
      <c r="N403" s="27">
        <v>75</v>
      </c>
      <c r="O403" s="38">
        <f>(M403*0.5)*25</f>
        <v>303.10833333333335</v>
      </c>
      <c r="P403" s="35">
        <f t="shared" si="45"/>
        <v>72.75</v>
      </c>
      <c r="Q403" s="40">
        <f t="shared" ref="Q403:Q422" si="51">O403*2</f>
        <v>606.2166666666667</v>
      </c>
      <c r="R403" s="35">
        <v>556.29999999999995</v>
      </c>
    </row>
    <row r="404" spans="1:18" x14ac:dyDescent="0.3">
      <c r="A404" s="37">
        <v>43547</v>
      </c>
      <c r="B404" s="36" t="s">
        <v>107</v>
      </c>
      <c r="C404" s="34"/>
      <c r="D404" s="31">
        <v>94</v>
      </c>
      <c r="E404" s="35"/>
      <c r="F404" s="35"/>
      <c r="G404" s="34"/>
      <c r="H404" s="34"/>
      <c r="I404" s="34"/>
      <c r="J404" s="34"/>
      <c r="K404" s="34"/>
      <c r="L404" s="33"/>
      <c r="M404" s="38">
        <v>26.26</v>
      </c>
      <c r="N404" s="27">
        <v>93</v>
      </c>
      <c r="O404" s="50">
        <f>(M404*80)+(N404-80)*(M404*1.5)</f>
        <v>2612.8700000000003</v>
      </c>
      <c r="P404" s="35">
        <f t="shared" si="45"/>
        <v>705.47</v>
      </c>
      <c r="Q404" s="40">
        <f t="shared" si="51"/>
        <v>5225.7400000000007</v>
      </c>
      <c r="R404" s="35">
        <v>556.29999999999995</v>
      </c>
    </row>
    <row r="405" spans="1:18" x14ac:dyDescent="0.3">
      <c r="A405" s="32">
        <v>43505</v>
      </c>
      <c r="B405" s="33" t="s">
        <v>108</v>
      </c>
      <c r="C405" s="34"/>
      <c r="D405" s="31">
        <v>101</v>
      </c>
      <c r="E405" s="35"/>
      <c r="F405" s="35"/>
      <c r="G405" s="34"/>
      <c r="H405" s="34"/>
      <c r="I405" s="34"/>
      <c r="J405" s="34"/>
      <c r="K405" s="34"/>
      <c r="L405" s="33"/>
      <c r="M405" s="38">
        <v>19.8</v>
      </c>
      <c r="N405" s="30">
        <v>101</v>
      </c>
      <c r="O405" s="50">
        <f t="shared" ref="O405:O407" si="52">(M405*80)+(N405-80)*(M405*1.5)</f>
        <v>2207.6999999999998</v>
      </c>
      <c r="P405" s="35">
        <f t="shared" si="45"/>
        <v>640.23</v>
      </c>
      <c r="Q405" s="40">
        <f t="shared" si="51"/>
        <v>4415.3999999999996</v>
      </c>
      <c r="R405" s="35">
        <v>556.29999999999995</v>
      </c>
    </row>
    <row r="406" spans="1:18" x14ac:dyDescent="0.3">
      <c r="A406" s="32">
        <v>43519</v>
      </c>
      <c r="B406" s="33" t="s">
        <v>108</v>
      </c>
      <c r="C406" s="34"/>
      <c r="D406" s="31">
        <v>89</v>
      </c>
      <c r="E406" s="35"/>
      <c r="F406" s="35"/>
      <c r="G406" s="34"/>
      <c r="H406" s="34"/>
      <c r="I406" s="34"/>
      <c r="J406" s="34"/>
      <c r="K406" s="34"/>
      <c r="L406" s="33"/>
      <c r="M406" s="38">
        <v>19.8</v>
      </c>
      <c r="N406" s="30">
        <v>89</v>
      </c>
      <c r="O406" s="50">
        <f t="shared" si="52"/>
        <v>1851.3</v>
      </c>
      <c r="P406" s="35">
        <f t="shared" si="45"/>
        <v>518.36</v>
      </c>
      <c r="Q406" s="40">
        <f t="shared" si="51"/>
        <v>3702.6</v>
      </c>
      <c r="R406" s="35"/>
    </row>
    <row r="407" spans="1:18" x14ac:dyDescent="0.3">
      <c r="A407" s="32">
        <v>43533</v>
      </c>
      <c r="B407" s="33" t="s">
        <v>108</v>
      </c>
      <c r="C407" s="34"/>
      <c r="D407" s="31">
        <v>93.5</v>
      </c>
      <c r="E407" s="35"/>
      <c r="F407" s="35"/>
      <c r="G407" s="34"/>
      <c r="H407" s="34"/>
      <c r="I407" s="34"/>
      <c r="J407" s="34"/>
      <c r="K407" s="34"/>
      <c r="L407" s="33"/>
      <c r="M407" s="38">
        <v>19.8</v>
      </c>
      <c r="N407" s="30">
        <v>93.5</v>
      </c>
      <c r="O407" s="50">
        <f t="shared" si="52"/>
        <v>1984.95</v>
      </c>
      <c r="P407" s="35">
        <f t="shared" si="45"/>
        <v>555.79</v>
      </c>
      <c r="Q407" s="40">
        <f t="shared" si="51"/>
        <v>3969.9</v>
      </c>
      <c r="R407" s="35"/>
    </row>
    <row r="408" spans="1:18" x14ac:dyDescent="0.3">
      <c r="A408" s="32">
        <v>43805</v>
      </c>
      <c r="B408" s="33" t="s">
        <v>108</v>
      </c>
      <c r="C408" s="34">
        <v>664</v>
      </c>
      <c r="D408" s="30">
        <v>58</v>
      </c>
      <c r="E408" s="35">
        <v>135.72</v>
      </c>
      <c r="F408" s="35">
        <v>1044</v>
      </c>
      <c r="G408" s="34">
        <v>135.72</v>
      </c>
      <c r="H408" s="34">
        <v>380</v>
      </c>
      <c r="I408" s="34">
        <v>1179.72</v>
      </c>
      <c r="J408" s="34">
        <v>277.22000000000003</v>
      </c>
      <c r="K408" s="34">
        <v>1456.94</v>
      </c>
      <c r="L408" s="33" t="s">
        <v>14</v>
      </c>
      <c r="M408" s="34">
        <f t="shared" ref="M408:M493" si="53">(E408+F408)/N408</f>
        <v>20.34</v>
      </c>
      <c r="N408" s="27">
        <v>58</v>
      </c>
      <c r="O408" s="34">
        <v>0</v>
      </c>
      <c r="P408" s="35">
        <f t="shared" si="45"/>
        <v>0</v>
      </c>
      <c r="Q408" s="40">
        <f t="shared" si="51"/>
        <v>0</v>
      </c>
      <c r="R408" s="35"/>
    </row>
    <row r="409" spans="1:18" x14ac:dyDescent="0.3">
      <c r="A409" s="32">
        <v>43819</v>
      </c>
      <c r="B409" s="33" t="s">
        <v>108</v>
      </c>
      <c r="C409" s="34">
        <v>1621</v>
      </c>
      <c r="D409" s="33">
        <v>80</v>
      </c>
      <c r="E409" s="35">
        <v>229.63</v>
      </c>
      <c r="F409" s="35">
        <v>1791</v>
      </c>
      <c r="G409" s="34">
        <v>229.63</v>
      </c>
      <c r="H409" s="34">
        <v>170</v>
      </c>
      <c r="I409" s="34">
        <v>2020.63</v>
      </c>
      <c r="J409" s="34">
        <v>360.38</v>
      </c>
      <c r="K409" s="34">
        <v>2381.0100000000002</v>
      </c>
      <c r="L409" s="33" t="s">
        <v>14</v>
      </c>
      <c r="M409" s="34">
        <f t="shared" si="53"/>
        <v>21.611016042780751</v>
      </c>
      <c r="N409" s="27">
        <v>93.5</v>
      </c>
      <c r="O409" s="34">
        <f t="shared" si="44"/>
        <v>145.87435828877005</v>
      </c>
      <c r="P409" s="35">
        <f t="shared" si="45"/>
        <v>26.26</v>
      </c>
      <c r="Q409" s="40">
        <f t="shared" si="51"/>
        <v>291.74871657754011</v>
      </c>
      <c r="R409" s="35"/>
    </row>
    <row r="410" spans="1:18" x14ac:dyDescent="0.3">
      <c r="A410" s="32">
        <v>43833</v>
      </c>
      <c r="B410" s="33" t="s">
        <v>108</v>
      </c>
      <c r="C410" s="34">
        <v>2593</v>
      </c>
      <c r="D410" s="36">
        <v>50</v>
      </c>
      <c r="E410" s="35">
        <v>411.62</v>
      </c>
      <c r="F410" s="49">
        <v>1593</v>
      </c>
      <c r="G410" s="34">
        <v>411.62</v>
      </c>
      <c r="H410" s="34">
        <v>0</v>
      </c>
      <c r="I410" s="34">
        <v>3004.62</v>
      </c>
      <c r="J410" s="34">
        <v>457.7</v>
      </c>
      <c r="K410" s="34">
        <v>3462.32</v>
      </c>
      <c r="L410" s="33" t="s">
        <v>14</v>
      </c>
      <c r="M410" s="34">
        <f t="shared" si="53"/>
        <v>22.651073446327683</v>
      </c>
      <c r="N410" s="27">
        <v>88.5</v>
      </c>
      <c r="O410" s="38">
        <f>(M410*0.5)*10</f>
        <v>113.25536723163842</v>
      </c>
      <c r="P410" s="35">
        <f t="shared" si="45"/>
        <v>20.39</v>
      </c>
      <c r="Q410" s="40">
        <f t="shared" si="51"/>
        <v>226.51073446327683</v>
      </c>
      <c r="R410" s="35"/>
    </row>
    <row r="411" spans="1:18" x14ac:dyDescent="0.3">
      <c r="A411" s="32">
        <v>43847</v>
      </c>
      <c r="B411" s="33" t="s">
        <v>108</v>
      </c>
      <c r="C411" s="34">
        <v>1502</v>
      </c>
      <c r="D411" s="36">
        <v>51.5</v>
      </c>
      <c r="E411" s="35"/>
      <c r="F411" s="35">
        <v>1602</v>
      </c>
      <c r="G411" s="34">
        <v>169.09</v>
      </c>
      <c r="H411" s="34">
        <v>100</v>
      </c>
      <c r="I411" s="34">
        <v>1771.09</v>
      </c>
      <c r="J411" s="34">
        <v>318.98</v>
      </c>
      <c r="K411" s="34">
        <v>2090.0700000000002</v>
      </c>
      <c r="L411" s="33" t="s">
        <v>14</v>
      </c>
      <c r="M411" s="34">
        <f t="shared" si="53"/>
        <v>18</v>
      </c>
      <c r="N411" s="27">
        <v>89</v>
      </c>
      <c r="O411" s="38">
        <f>(M411*0.5)*11.5</f>
        <v>103.5</v>
      </c>
      <c r="P411" s="35">
        <f t="shared" si="45"/>
        <v>17.600000000000001</v>
      </c>
      <c r="Q411" s="40">
        <f t="shared" si="51"/>
        <v>207</v>
      </c>
      <c r="R411" s="35"/>
    </row>
    <row r="412" spans="1:18" x14ac:dyDescent="0.3">
      <c r="A412" s="32">
        <v>43861</v>
      </c>
      <c r="B412" s="33" t="s">
        <v>108</v>
      </c>
      <c r="C412" s="34">
        <v>1777</v>
      </c>
      <c r="D412" s="33">
        <v>80</v>
      </c>
      <c r="E412" s="35"/>
      <c r="F412" s="35">
        <v>1827</v>
      </c>
      <c r="G412" s="34">
        <v>191.49</v>
      </c>
      <c r="H412" s="34">
        <v>50</v>
      </c>
      <c r="I412" s="34">
        <v>2018.49</v>
      </c>
      <c r="J412" s="34">
        <v>341.22</v>
      </c>
      <c r="K412" s="34">
        <v>2359.71</v>
      </c>
      <c r="L412" s="33" t="s">
        <v>14</v>
      </c>
      <c r="M412" s="34">
        <f t="shared" si="53"/>
        <v>18</v>
      </c>
      <c r="N412" s="27">
        <v>101.5</v>
      </c>
      <c r="O412" s="34">
        <f t="shared" si="44"/>
        <v>193.5</v>
      </c>
      <c r="P412" s="35">
        <f t="shared" si="45"/>
        <v>32.9</v>
      </c>
      <c r="Q412" s="40">
        <f t="shared" si="51"/>
        <v>387</v>
      </c>
      <c r="R412" s="35"/>
    </row>
    <row r="413" spans="1:18" x14ac:dyDescent="0.3">
      <c r="A413" s="32">
        <v>43875</v>
      </c>
      <c r="B413" s="33" t="s">
        <v>108</v>
      </c>
      <c r="C413" s="34">
        <v>1476</v>
      </c>
      <c r="D413" s="36">
        <v>43</v>
      </c>
      <c r="E413" s="35"/>
      <c r="F413" s="35">
        <v>1476</v>
      </c>
      <c r="G413" s="34">
        <v>159.13999999999999</v>
      </c>
      <c r="H413" s="34">
        <v>0</v>
      </c>
      <c r="I413" s="34">
        <v>1635.14</v>
      </c>
      <c r="J413" s="34">
        <v>301.08</v>
      </c>
      <c r="K413" s="34">
        <v>1936.22</v>
      </c>
      <c r="L413" s="33">
        <v>100194</v>
      </c>
      <c r="M413" s="34">
        <f t="shared" si="53"/>
        <v>18.222222222222221</v>
      </c>
      <c r="N413" s="27">
        <v>81</v>
      </c>
      <c r="O413" s="38">
        <f>(M413*0.5)*3</f>
        <v>27.333333333333332</v>
      </c>
      <c r="P413" s="35">
        <f t="shared" si="45"/>
        <v>4.37</v>
      </c>
      <c r="Q413" s="40">
        <f t="shared" si="51"/>
        <v>54.666666666666664</v>
      </c>
      <c r="R413" s="35"/>
    </row>
    <row r="414" spans="1:18" x14ac:dyDescent="0.3">
      <c r="A414" s="37">
        <v>43617</v>
      </c>
      <c r="B414" s="36" t="s">
        <v>109</v>
      </c>
      <c r="C414" s="34"/>
      <c r="D414" s="31">
        <v>65</v>
      </c>
      <c r="E414" s="35"/>
      <c r="F414" s="35"/>
      <c r="G414" s="34"/>
      <c r="H414" s="34"/>
      <c r="I414" s="34"/>
      <c r="J414" s="34"/>
      <c r="K414" s="34"/>
      <c r="L414" s="33"/>
      <c r="M414" s="38">
        <v>26.26</v>
      </c>
      <c r="N414" s="27">
        <v>65</v>
      </c>
      <c r="O414" s="50">
        <f>(M414*58)+(M414*1.5)*7</f>
        <v>1798.8100000000002</v>
      </c>
      <c r="P414" s="35">
        <f t="shared" si="45"/>
        <v>449.7</v>
      </c>
      <c r="Q414" s="40">
        <f t="shared" si="51"/>
        <v>3597.6200000000003</v>
      </c>
      <c r="R414" s="35">
        <v>556.29999999999995</v>
      </c>
    </row>
    <row r="415" spans="1:18" x14ac:dyDescent="0.3">
      <c r="A415" s="37">
        <v>43855</v>
      </c>
      <c r="B415" s="36" t="s">
        <v>110</v>
      </c>
      <c r="C415" s="34"/>
      <c r="D415" s="31">
        <v>66.5</v>
      </c>
      <c r="E415" s="35"/>
      <c r="F415" s="35"/>
      <c r="G415" s="34"/>
      <c r="H415" s="34"/>
      <c r="I415" s="34"/>
      <c r="J415" s="34"/>
      <c r="K415" s="34"/>
      <c r="L415" s="33"/>
      <c r="M415" s="38">
        <v>26.26</v>
      </c>
      <c r="N415" s="30">
        <v>66.5</v>
      </c>
      <c r="O415" s="50">
        <f>(M415*54)+(M415*1.5)*12.5</f>
        <v>1910.4150000000002</v>
      </c>
      <c r="P415" s="35">
        <f t="shared" si="45"/>
        <v>324.77</v>
      </c>
      <c r="Q415" s="40">
        <f t="shared" si="51"/>
        <v>3820.8300000000004</v>
      </c>
      <c r="R415" s="35">
        <v>556.29999999999995</v>
      </c>
    </row>
    <row r="416" spans="1:18" x14ac:dyDescent="0.3">
      <c r="A416" s="37">
        <v>43869</v>
      </c>
      <c r="B416" s="36" t="s">
        <v>110</v>
      </c>
      <c r="C416" s="34"/>
      <c r="D416" s="31">
        <v>97</v>
      </c>
      <c r="E416" s="35"/>
      <c r="F416" s="35"/>
      <c r="G416" s="34"/>
      <c r="H416" s="34"/>
      <c r="I416" s="34"/>
      <c r="J416" s="34"/>
      <c r="K416" s="34"/>
      <c r="L416" s="33"/>
      <c r="M416" s="38">
        <v>26.26</v>
      </c>
      <c r="N416" s="30">
        <v>97</v>
      </c>
      <c r="O416" s="50">
        <f>(M416*80)+(N416-80)*(1.5*M416)</f>
        <v>2770.4300000000003</v>
      </c>
      <c r="P416" s="35">
        <f t="shared" si="45"/>
        <v>443.27</v>
      </c>
      <c r="Q416" s="40">
        <f t="shared" si="51"/>
        <v>5540.8600000000006</v>
      </c>
      <c r="R416" s="35"/>
    </row>
    <row r="417" spans="1:18" x14ac:dyDescent="0.3">
      <c r="A417" s="37">
        <v>43883</v>
      </c>
      <c r="B417" s="36" t="s">
        <v>110</v>
      </c>
      <c r="C417" s="34"/>
      <c r="D417" s="31">
        <v>102.5</v>
      </c>
      <c r="E417" s="35"/>
      <c r="F417" s="35"/>
      <c r="G417" s="34"/>
      <c r="H417" s="34"/>
      <c r="I417" s="34"/>
      <c r="J417" s="34"/>
      <c r="K417" s="34"/>
      <c r="L417" s="33"/>
      <c r="M417" s="38">
        <v>26.26</v>
      </c>
      <c r="N417" s="30">
        <v>102.5</v>
      </c>
      <c r="O417" s="50">
        <f t="shared" ref="O417" si="54">(M417*80)+(N417-80)*(1.5*M417)</f>
        <v>2987.0750000000003</v>
      </c>
      <c r="P417" s="35">
        <f t="shared" si="45"/>
        <v>477.93</v>
      </c>
      <c r="Q417" s="40">
        <f t="shared" si="51"/>
        <v>5974.1500000000005</v>
      </c>
      <c r="R417" s="35"/>
    </row>
    <row r="418" spans="1:18" x14ac:dyDescent="0.3">
      <c r="A418" s="37">
        <v>43897</v>
      </c>
      <c r="B418" s="36" t="s">
        <v>110</v>
      </c>
      <c r="C418" s="34"/>
      <c r="D418" s="31">
        <v>81</v>
      </c>
      <c r="E418" s="35"/>
      <c r="F418" s="35"/>
      <c r="G418" s="34"/>
      <c r="H418" s="34"/>
      <c r="I418" s="34"/>
      <c r="J418" s="34"/>
      <c r="K418" s="34"/>
      <c r="L418" s="33"/>
      <c r="M418" s="38">
        <v>26.26</v>
      </c>
      <c r="N418" s="30">
        <v>81</v>
      </c>
      <c r="O418" s="50">
        <f>(M418*78)+(M418*1.5)*3</f>
        <v>2166.4500000000003</v>
      </c>
      <c r="P418" s="35">
        <f t="shared" si="45"/>
        <v>346.63</v>
      </c>
      <c r="Q418" s="40">
        <f t="shared" si="51"/>
        <v>4332.9000000000005</v>
      </c>
      <c r="R418" s="35"/>
    </row>
    <row r="419" spans="1:18" x14ac:dyDescent="0.3">
      <c r="A419" s="37">
        <v>43911</v>
      </c>
      <c r="B419" s="36" t="s">
        <v>110</v>
      </c>
      <c r="C419" s="34"/>
      <c r="D419" s="31">
        <v>79</v>
      </c>
      <c r="E419" s="35"/>
      <c r="F419" s="35"/>
      <c r="G419" s="34"/>
      <c r="H419" s="34"/>
      <c r="I419" s="34"/>
      <c r="J419" s="34"/>
      <c r="K419" s="34"/>
      <c r="L419" s="33"/>
      <c r="M419" s="38">
        <v>26.26</v>
      </c>
      <c r="N419" s="30">
        <v>79</v>
      </c>
      <c r="O419" s="50">
        <f>N419*M419</f>
        <v>2074.54</v>
      </c>
      <c r="P419" s="35">
        <f t="shared" si="45"/>
        <v>311.18</v>
      </c>
      <c r="Q419" s="40">
        <f t="shared" si="51"/>
        <v>4149.08</v>
      </c>
      <c r="R419" s="35"/>
    </row>
    <row r="420" spans="1:18" x14ac:dyDescent="0.3">
      <c r="A420" s="29">
        <v>44009</v>
      </c>
      <c r="B420" s="30" t="s">
        <v>111</v>
      </c>
      <c r="C420" s="34">
        <v>1754.02</v>
      </c>
      <c r="D420" s="31">
        <v>83.5</v>
      </c>
      <c r="E420" s="35"/>
      <c r="F420" s="35">
        <v>1960.75</v>
      </c>
      <c r="G420" s="34"/>
      <c r="H420" s="34"/>
      <c r="I420" s="34"/>
      <c r="J420" s="34"/>
      <c r="K420" s="34"/>
      <c r="L420" s="33"/>
      <c r="M420" s="38">
        <v>26.26</v>
      </c>
      <c r="N420" s="30">
        <v>83.5</v>
      </c>
      <c r="O420" s="42">
        <v>0</v>
      </c>
      <c r="P420" s="35">
        <f t="shared" ref="P420:P488" si="55">ROUND(((ROUNDDOWN(($W$1-A420)/30,0))/100)*O420,2)</f>
        <v>0</v>
      </c>
      <c r="Q420" s="40">
        <f t="shared" si="51"/>
        <v>0</v>
      </c>
      <c r="R420" s="49">
        <v>556.29999999999995</v>
      </c>
    </row>
    <row r="421" spans="1:18" x14ac:dyDescent="0.3">
      <c r="A421" s="29">
        <v>44023</v>
      </c>
      <c r="B421" s="30" t="s">
        <v>111</v>
      </c>
      <c r="C421" s="34">
        <v>1906.51</v>
      </c>
      <c r="D421" s="31">
        <v>106.5</v>
      </c>
      <c r="E421" s="35"/>
      <c r="F421" s="35">
        <v>2754.25</v>
      </c>
      <c r="G421" s="34"/>
      <c r="H421" s="34"/>
      <c r="I421" s="34"/>
      <c r="J421" s="34"/>
      <c r="K421" s="34"/>
      <c r="L421" s="33"/>
      <c r="M421" s="38">
        <v>26.26</v>
      </c>
      <c r="N421" s="30">
        <v>106.5</v>
      </c>
      <c r="O421" s="42">
        <v>0</v>
      </c>
      <c r="P421" s="35">
        <f t="shared" si="55"/>
        <v>0</v>
      </c>
      <c r="Q421" s="40">
        <f t="shared" si="51"/>
        <v>0</v>
      </c>
      <c r="R421" s="35"/>
    </row>
    <row r="422" spans="1:18" x14ac:dyDescent="0.3">
      <c r="A422" s="37">
        <v>43924</v>
      </c>
      <c r="B422" s="36" t="s">
        <v>112</v>
      </c>
      <c r="C422" s="34"/>
      <c r="D422" s="31">
        <v>24</v>
      </c>
      <c r="E422" s="35"/>
      <c r="F422" s="35"/>
      <c r="G422" s="34"/>
      <c r="H422" s="34"/>
      <c r="I422" s="34"/>
      <c r="J422" s="34"/>
      <c r="K422" s="34"/>
      <c r="L422" s="33"/>
      <c r="M422" s="38">
        <v>26.26</v>
      </c>
      <c r="N422" s="30">
        <v>24</v>
      </c>
      <c r="O422" s="50">
        <f>N422*M422</f>
        <v>630.24</v>
      </c>
      <c r="P422" s="35">
        <f t="shared" si="55"/>
        <v>94.54</v>
      </c>
      <c r="Q422" s="40">
        <f t="shared" si="51"/>
        <v>1260.48</v>
      </c>
      <c r="R422" s="35">
        <v>556.29999999999995</v>
      </c>
    </row>
    <row r="423" spans="1:18" hidden="1" x14ac:dyDescent="0.3">
      <c r="A423" s="37" t="s">
        <v>77</v>
      </c>
      <c r="B423" s="33" t="s">
        <v>113</v>
      </c>
      <c r="C423" s="34">
        <v>1824</v>
      </c>
      <c r="D423" s="33">
        <v>80</v>
      </c>
      <c r="E423" s="33">
        <v>181.11</v>
      </c>
      <c r="F423" s="33">
        <v>1840</v>
      </c>
      <c r="G423" s="34">
        <v>197.11</v>
      </c>
      <c r="H423" s="34">
        <v>0</v>
      </c>
      <c r="I423" s="34">
        <v>2021.11</v>
      </c>
      <c r="J423" s="34">
        <v>363.87</v>
      </c>
      <c r="K423" s="34">
        <v>2384.98</v>
      </c>
      <c r="L423" s="33" t="s">
        <v>14</v>
      </c>
      <c r="M423" s="34" t="e">
        <f t="shared" si="53"/>
        <v>#DIV/0!</v>
      </c>
      <c r="N423" s="27"/>
      <c r="O423" s="34" t="e">
        <f t="shared" si="44"/>
        <v>#DIV/0!</v>
      </c>
      <c r="P423" s="35" t="e">
        <f t="shared" si="55"/>
        <v>#VALUE!</v>
      </c>
      <c r="Q423" s="34" t="e">
        <f t="shared" si="46"/>
        <v>#DIV/0!</v>
      </c>
      <c r="R423" s="35">
        <v>409.55</v>
      </c>
    </row>
    <row r="424" spans="1:18" hidden="1" x14ac:dyDescent="0.3">
      <c r="A424" s="37" t="s">
        <v>77</v>
      </c>
      <c r="B424" s="33" t="s">
        <v>113</v>
      </c>
      <c r="C424" s="34">
        <v>1040</v>
      </c>
      <c r="D424" s="33">
        <v>74</v>
      </c>
      <c r="E424" s="33">
        <v>32.76</v>
      </c>
      <c r="F424" s="33">
        <v>1702</v>
      </c>
      <c r="G424" s="34">
        <v>254.76</v>
      </c>
      <c r="H424" s="34">
        <v>440</v>
      </c>
      <c r="I424" s="34">
        <v>1734.76</v>
      </c>
      <c r="J424" s="34">
        <v>323.01</v>
      </c>
      <c r="K424" s="34">
        <v>2057.77</v>
      </c>
      <c r="L424" s="33" t="s">
        <v>14</v>
      </c>
      <c r="M424" s="34" t="e">
        <f t="shared" si="53"/>
        <v>#DIV/0!</v>
      </c>
      <c r="N424" s="27"/>
      <c r="O424" s="34" t="e">
        <f t="shared" si="44"/>
        <v>#DIV/0!</v>
      </c>
      <c r="P424" s="35" t="e">
        <f t="shared" si="55"/>
        <v>#VALUE!</v>
      </c>
      <c r="Q424" s="34" t="e">
        <f t="shared" si="46"/>
        <v>#DIV/0!</v>
      </c>
      <c r="R424" s="35"/>
    </row>
    <row r="425" spans="1:18" hidden="1" x14ac:dyDescent="0.3">
      <c r="A425" s="37" t="s">
        <v>77</v>
      </c>
      <c r="B425" s="33" t="s">
        <v>113</v>
      </c>
      <c r="C425" s="34">
        <v>1620</v>
      </c>
      <c r="D425" s="33">
        <v>80</v>
      </c>
      <c r="E425" s="33">
        <v>508.61</v>
      </c>
      <c r="F425" s="33">
        <v>2400</v>
      </c>
      <c r="G425" s="34">
        <v>488.61</v>
      </c>
      <c r="H425" s="34">
        <v>800</v>
      </c>
      <c r="I425" s="34">
        <v>2908.61</v>
      </c>
      <c r="J425" s="34">
        <v>453.14</v>
      </c>
      <c r="K425" s="34">
        <v>3361.75</v>
      </c>
      <c r="L425" s="33" t="s">
        <v>14</v>
      </c>
      <c r="M425" s="34" t="e">
        <f t="shared" si="53"/>
        <v>#DIV/0!</v>
      </c>
      <c r="N425" s="27"/>
      <c r="O425" s="34" t="e">
        <f t="shared" si="44"/>
        <v>#DIV/0!</v>
      </c>
      <c r="P425" s="35" t="e">
        <f t="shared" si="55"/>
        <v>#VALUE!</v>
      </c>
      <c r="Q425" s="34" t="e">
        <f t="shared" si="46"/>
        <v>#DIV/0!</v>
      </c>
      <c r="R425" s="35"/>
    </row>
    <row r="426" spans="1:18" hidden="1" x14ac:dyDescent="0.3">
      <c r="A426" s="37" t="s">
        <v>77</v>
      </c>
      <c r="B426" s="33" t="s">
        <v>113</v>
      </c>
      <c r="C426" s="34">
        <v>1310</v>
      </c>
      <c r="D426" s="33">
        <v>80</v>
      </c>
      <c r="E426" s="33">
        <v>238.67</v>
      </c>
      <c r="F426" s="33">
        <v>1840</v>
      </c>
      <c r="G426" s="34">
        <v>328.67</v>
      </c>
      <c r="H426" s="34">
        <v>440</v>
      </c>
      <c r="I426" s="34">
        <v>2078.67</v>
      </c>
      <c r="J426" s="34">
        <v>369.66</v>
      </c>
      <c r="K426" s="34">
        <v>2448.33</v>
      </c>
      <c r="L426" s="33" t="s">
        <v>14</v>
      </c>
      <c r="M426" s="34" t="e">
        <f t="shared" si="53"/>
        <v>#DIV/0!</v>
      </c>
      <c r="N426" s="27"/>
      <c r="O426" s="34" t="e">
        <f t="shared" si="44"/>
        <v>#DIV/0!</v>
      </c>
      <c r="P426" s="35" t="e">
        <f t="shared" si="55"/>
        <v>#VALUE!</v>
      </c>
      <c r="Q426" s="34" t="e">
        <f t="shared" si="46"/>
        <v>#DIV/0!</v>
      </c>
      <c r="R426" s="35"/>
    </row>
    <row r="427" spans="1:18" hidden="1" x14ac:dyDescent="0.3">
      <c r="A427" s="37" t="s">
        <v>77</v>
      </c>
      <c r="B427" s="33" t="s">
        <v>113</v>
      </c>
      <c r="C427" s="34">
        <v>1151.3</v>
      </c>
      <c r="D427" s="33">
        <v>80</v>
      </c>
      <c r="E427" s="33">
        <v>490</v>
      </c>
      <c r="F427" s="33">
        <v>1840</v>
      </c>
      <c r="G427" s="34">
        <v>378.7</v>
      </c>
      <c r="H427" s="34">
        <v>800</v>
      </c>
      <c r="I427" s="34">
        <v>2330</v>
      </c>
      <c r="J427" s="34">
        <v>394.95</v>
      </c>
      <c r="K427" s="34">
        <v>2724.95</v>
      </c>
      <c r="L427" s="33" t="s">
        <v>14</v>
      </c>
      <c r="M427" s="34" t="e">
        <f t="shared" si="53"/>
        <v>#DIV/0!</v>
      </c>
      <c r="N427" s="27"/>
      <c r="O427" s="34" t="e">
        <f t="shared" si="44"/>
        <v>#DIV/0!</v>
      </c>
      <c r="P427" s="35" t="e">
        <f t="shared" si="55"/>
        <v>#VALUE!</v>
      </c>
      <c r="Q427" s="34" t="e">
        <f t="shared" si="46"/>
        <v>#DIV/0!</v>
      </c>
      <c r="R427" s="35"/>
    </row>
    <row r="428" spans="1:18" hidden="1" x14ac:dyDescent="0.3">
      <c r="A428" s="37" t="s">
        <v>77</v>
      </c>
      <c r="B428" s="33" t="s">
        <v>113</v>
      </c>
      <c r="C428" s="34">
        <v>378.7</v>
      </c>
      <c r="D428" s="33">
        <v>0</v>
      </c>
      <c r="E428" s="33">
        <v>378.7</v>
      </c>
      <c r="F428" s="33"/>
      <c r="G428" s="34">
        <v>32.49</v>
      </c>
      <c r="H428" s="34">
        <v>0</v>
      </c>
      <c r="I428" s="34">
        <v>411.19</v>
      </c>
      <c r="J428" s="34">
        <v>41.36</v>
      </c>
      <c r="K428" s="34">
        <v>452.55</v>
      </c>
      <c r="L428" s="33" t="s">
        <v>14</v>
      </c>
      <c r="M428" s="34" t="e">
        <f t="shared" si="53"/>
        <v>#DIV/0!</v>
      </c>
      <c r="N428" s="27"/>
      <c r="O428" s="34" t="e">
        <f t="shared" si="44"/>
        <v>#DIV/0!</v>
      </c>
      <c r="P428" s="35" t="e">
        <f t="shared" si="55"/>
        <v>#VALUE!</v>
      </c>
      <c r="Q428" s="34" t="e">
        <f t="shared" si="46"/>
        <v>#DIV/0!</v>
      </c>
      <c r="R428" s="35"/>
    </row>
    <row r="429" spans="1:18" hidden="1" x14ac:dyDescent="0.3">
      <c r="A429" s="37" t="s">
        <v>77</v>
      </c>
      <c r="B429" s="33" t="s">
        <v>113</v>
      </c>
      <c r="C429" s="34">
        <v>1658</v>
      </c>
      <c r="D429" s="33">
        <v>80</v>
      </c>
      <c r="E429" s="33">
        <v>1075.1600000000001</v>
      </c>
      <c r="F429" s="33">
        <v>1840</v>
      </c>
      <c r="G429" s="34">
        <v>495.16</v>
      </c>
      <c r="H429" s="34">
        <v>762</v>
      </c>
      <c r="I429" s="34">
        <v>2915.16</v>
      </c>
      <c r="J429" s="34">
        <v>449.39</v>
      </c>
      <c r="K429" s="34">
        <v>3364.55</v>
      </c>
      <c r="L429" s="33" t="s">
        <v>14</v>
      </c>
      <c r="M429" s="34" t="e">
        <f t="shared" si="53"/>
        <v>#DIV/0!</v>
      </c>
      <c r="N429" s="27"/>
      <c r="O429" s="34" t="e">
        <f t="shared" si="44"/>
        <v>#DIV/0!</v>
      </c>
      <c r="P429" s="35" t="e">
        <f t="shared" si="55"/>
        <v>#VALUE!</v>
      </c>
      <c r="Q429" s="34" t="e">
        <f t="shared" si="46"/>
        <v>#DIV/0!</v>
      </c>
      <c r="R429" s="35"/>
    </row>
    <row r="430" spans="1:18" hidden="1" x14ac:dyDescent="0.3">
      <c r="A430" s="37" t="s">
        <v>77</v>
      </c>
      <c r="B430" s="33" t="s">
        <v>113</v>
      </c>
      <c r="C430" s="34">
        <v>1440</v>
      </c>
      <c r="D430" s="33">
        <v>72</v>
      </c>
      <c r="E430" s="33">
        <v>165.1</v>
      </c>
      <c r="F430" s="33">
        <v>1440</v>
      </c>
      <c r="G430" s="34">
        <v>165.1</v>
      </c>
      <c r="H430" s="34">
        <v>0</v>
      </c>
      <c r="I430" s="34">
        <v>1605.1</v>
      </c>
      <c r="J430" s="34">
        <v>296.32</v>
      </c>
      <c r="K430" s="34">
        <v>1901.42</v>
      </c>
      <c r="L430" s="33" t="s">
        <v>14</v>
      </c>
      <c r="M430" s="34" t="e">
        <f t="shared" si="53"/>
        <v>#DIV/0!</v>
      </c>
      <c r="N430" s="27"/>
      <c r="O430" s="34" t="e">
        <f t="shared" si="44"/>
        <v>#DIV/0!</v>
      </c>
      <c r="P430" s="35" t="e">
        <f t="shared" si="55"/>
        <v>#VALUE!</v>
      </c>
      <c r="Q430" s="34" t="e">
        <f t="shared" si="46"/>
        <v>#DIV/0!</v>
      </c>
      <c r="R430" s="35"/>
    </row>
    <row r="431" spans="1:18" x14ac:dyDescent="0.3">
      <c r="A431" s="32">
        <v>43497</v>
      </c>
      <c r="B431" s="33" t="s">
        <v>114</v>
      </c>
      <c r="C431" s="34">
        <v>620</v>
      </c>
      <c r="D431" s="30">
        <v>36.5</v>
      </c>
      <c r="E431" s="35">
        <v>74.260000000000005</v>
      </c>
      <c r="F431" s="35">
        <v>620</v>
      </c>
      <c r="G431" s="34">
        <v>74.260000000000005</v>
      </c>
      <c r="H431" s="34">
        <v>0</v>
      </c>
      <c r="I431" s="34">
        <v>694.26</v>
      </c>
      <c r="J431" s="34">
        <v>143.09</v>
      </c>
      <c r="K431" s="34">
        <v>837.35</v>
      </c>
      <c r="L431" s="33">
        <v>100147</v>
      </c>
      <c r="M431" s="34">
        <f t="shared" si="53"/>
        <v>19.02082191780822</v>
      </c>
      <c r="N431" s="27">
        <v>36.5</v>
      </c>
      <c r="O431" s="34">
        <v>0</v>
      </c>
      <c r="P431" s="35">
        <f t="shared" si="55"/>
        <v>0</v>
      </c>
      <c r="Q431" s="40">
        <f t="shared" ref="Q431:Q446" si="56">O431*2</f>
        <v>0</v>
      </c>
      <c r="R431" s="35">
        <v>556.29999999999995</v>
      </c>
    </row>
    <row r="432" spans="1:18" x14ac:dyDescent="0.3">
      <c r="A432" s="32">
        <v>43511</v>
      </c>
      <c r="B432" s="33" t="s">
        <v>114</v>
      </c>
      <c r="C432" s="34">
        <v>1555</v>
      </c>
      <c r="D432" s="33">
        <v>80</v>
      </c>
      <c r="E432" s="35">
        <v>179.58</v>
      </c>
      <c r="F432" s="35">
        <v>1555</v>
      </c>
      <c r="G432" s="34">
        <v>179.58</v>
      </c>
      <c r="H432" s="34">
        <v>0</v>
      </c>
      <c r="I432" s="34">
        <v>1734.58</v>
      </c>
      <c r="J432" s="34">
        <v>335.04</v>
      </c>
      <c r="K432" s="34">
        <v>2069.62</v>
      </c>
      <c r="L432" s="33">
        <v>100155</v>
      </c>
      <c r="M432" s="34">
        <f t="shared" si="53"/>
        <v>17.432964824120603</v>
      </c>
      <c r="N432" s="27">
        <v>99.5</v>
      </c>
      <c r="O432" s="34">
        <f t="shared" si="44"/>
        <v>169.97140703517587</v>
      </c>
      <c r="P432" s="35">
        <f t="shared" si="55"/>
        <v>47.59</v>
      </c>
      <c r="Q432" s="40">
        <f t="shared" si="56"/>
        <v>339.94281407035174</v>
      </c>
      <c r="R432" s="35"/>
    </row>
    <row r="433" spans="1:18" x14ac:dyDescent="0.3">
      <c r="A433" s="32">
        <v>43525</v>
      </c>
      <c r="B433" s="33" t="s">
        <v>114</v>
      </c>
      <c r="C433" s="34">
        <v>1490</v>
      </c>
      <c r="D433" s="33">
        <v>80</v>
      </c>
      <c r="E433" s="35">
        <v>177.43</v>
      </c>
      <c r="F433" s="35">
        <v>1530</v>
      </c>
      <c r="G433" s="34">
        <v>177.43</v>
      </c>
      <c r="H433" s="34">
        <v>40</v>
      </c>
      <c r="I433" s="34">
        <v>1707.43</v>
      </c>
      <c r="J433" s="34">
        <v>332.31</v>
      </c>
      <c r="K433" s="34">
        <v>2039.74</v>
      </c>
      <c r="L433" s="33">
        <v>100158</v>
      </c>
      <c r="M433" s="34">
        <f t="shared" si="53"/>
        <v>18.971444444444444</v>
      </c>
      <c r="N433" s="27">
        <v>90</v>
      </c>
      <c r="O433" s="34">
        <f t="shared" si="44"/>
        <v>94.857222222222219</v>
      </c>
      <c r="P433" s="35">
        <f t="shared" si="55"/>
        <v>26.56</v>
      </c>
      <c r="Q433" s="40">
        <f t="shared" si="56"/>
        <v>189.71444444444444</v>
      </c>
      <c r="R433" s="35"/>
    </row>
    <row r="434" spans="1:18" x14ac:dyDescent="0.3">
      <c r="A434" s="32">
        <v>43539</v>
      </c>
      <c r="B434" s="33" t="s">
        <v>114</v>
      </c>
      <c r="C434" s="34">
        <v>1389</v>
      </c>
      <c r="D434" s="33">
        <v>80</v>
      </c>
      <c r="E434" s="35">
        <v>312.86</v>
      </c>
      <c r="F434" s="35">
        <v>1589</v>
      </c>
      <c r="G434" s="34">
        <v>312.86</v>
      </c>
      <c r="H434" s="34">
        <v>200</v>
      </c>
      <c r="I434" s="34">
        <v>1901.86</v>
      </c>
      <c r="J434" s="34">
        <v>351.85</v>
      </c>
      <c r="K434" s="34">
        <v>2253.71</v>
      </c>
      <c r="L434" s="33">
        <v>100164</v>
      </c>
      <c r="M434" s="34">
        <f t="shared" si="53"/>
        <v>20.340748663101607</v>
      </c>
      <c r="N434" s="27">
        <v>93.5</v>
      </c>
      <c r="O434" s="34">
        <f t="shared" si="44"/>
        <v>137.30005347593584</v>
      </c>
      <c r="P434" s="35">
        <f t="shared" si="55"/>
        <v>37.07</v>
      </c>
      <c r="Q434" s="40">
        <f t="shared" si="56"/>
        <v>274.60010695187168</v>
      </c>
      <c r="R434" s="35"/>
    </row>
    <row r="435" spans="1:18" x14ac:dyDescent="0.3">
      <c r="A435" s="32">
        <v>43553</v>
      </c>
      <c r="B435" s="33" t="s">
        <v>114</v>
      </c>
      <c r="C435" s="34">
        <v>629</v>
      </c>
      <c r="D435" s="30">
        <v>37</v>
      </c>
      <c r="E435" s="35"/>
      <c r="F435" s="35">
        <v>704.32</v>
      </c>
      <c r="G435" s="34">
        <v>75.319999999999993</v>
      </c>
      <c r="H435" s="34">
        <v>0</v>
      </c>
      <c r="I435" s="34">
        <v>704.32</v>
      </c>
      <c r="J435" s="34">
        <v>145.11000000000001</v>
      </c>
      <c r="K435" s="34">
        <v>849.43</v>
      </c>
      <c r="L435" s="33">
        <v>100169</v>
      </c>
      <c r="M435" s="34">
        <f t="shared" si="53"/>
        <v>19.035675675675677</v>
      </c>
      <c r="N435" s="27">
        <v>37</v>
      </c>
      <c r="O435" s="34">
        <v>0</v>
      </c>
      <c r="P435" s="35">
        <f t="shared" si="55"/>
        <v>0</v>
      </c>
      <c r="Q435" s="40">
        <f t="shared" si="56"/>
        <v>0</v>
      </c>
      <c r="R435" s="35"/>
    </row>
    <row r="436" spans="1:18" x14ac:dyDescent="0.3">
      <c r="A436" s="32">
        <v>43581</v>
      </c>
      <c r="B436" s="33" t="s">
        <v>114</v>
      </c>
      <c r="C436" s="34">
        <v>1584</v>
      </c>
      <c r="D436" s="33">
        <v>80</v>
      </c>
      <c r="E436" s="35">
        <v>311.62</v>
      </c>
      <c r="F436" s="35">
        <v>1584</v>
      </c>
      <c r="G436" s="34">
        <v>311.62</v>
      </c>
      <c r="H436" s="34">
        <v>0</v>
      </c>
      <c r="I436" s="34">
        <v>1895.62</v>
      </c>
      <c r="J436" s="34">
        <v>338.19</v>
      </c>
      <c r="K436" s="34">
        <v>2233.81</v>
      </c>
      <c r="L436" s="33" t="s">
        <v>14</v>
      </c>
      <c r="M436" s="34">
        <f t="shared" si="53"/>
        <v>21.541136363636362</v>
      </c>
      <c r="N436" s="27">
        <v>88</v>
      </c>
      <c r="O436" s="34">
        <f t="shared" si="44"/>
        <v>86.164545454545447</v>
      </c>
      <c r="P436" s="35">
        <f t="shared" si="55"/>
        <v>22.4</v>
      </c>
      <c r="Q436" s="40">
        <f t="shared" si="56"/>
        <v>172.32909090909089</v>
      </c>
      <c r="R436" s="35"/>
    </row>
    <row r="437" spans="1:18" x14ac:dyDescent="0.3">
      <c r="A437" s="32">
        <v>43595</v>
      </c>
      <c r="B437" s="33" t="s">
        <v>114</v>
      </c>
      <c r="C437" s="34">
        <v>1656</v>
      </c>
      <c r="D437" s="33">
        <v>80</v>
      </c>
      <c r="E437" s="35">
        <v>329.51</v>
      </c>
      <c r="F437" s="35">
        <v>1656</v>
      </c>
      <c r="G437" s="34">
        <v>329.51</v>
      </c>
      <c r="H437" s="34">
        <v>0</v>
      </c>
      <c r="I437" s="34">
        <v>1985.51</v>
      </c>
      <c r="J437" s="34">
        <v>344.99</v>
      </c>
      <c r="K437" s="34">
        <v>2330.5</v>
      </c>
      <c r="L437" s="33" t="s">
        <v>14</v>
      </c>
      <c r="M437" s="34">
        <f t="shared" si="53"/>
        <v>21.581630434782607</v>
      </c>
      <c r="N437" s="27">
        <v>92</v>
      </c>
      <c r="O437" s="34">
        <f t="shared" si="44"/>
        <v>129.48978260869563</v>
      </c>
      <c r="P437" s="35">
        <f t="shared" si="55"/>
        <v>33.67</v>
      </c>
      <c r="Q437" s="40">
        <f t="shared" si="56"/>
        <v>258.97956521739127</v>
      </c>
      <c r="R437" s="35"/>
    </row>
    <row r="438" spans="1:18" x14ac:dyDescent="0.3">
      <c r="A438" s="32">
        <v>43609</v>
      </c>
      <c r="B438" s="33" t="s">
        <v>114</v>
      </c>
      <c r="C438" s="34">
        <v>1863</v>
      </c>
      <c r="D438" s="33">
        <v>80</v>
      </c>
      <c r="E438" s="35">
        <v>381</v>
      </c>
      <c r="F438" s="35">
        <v>1862</v>
      </c>
      <c r="G438" s="34">
        <v>380.96</v>
      </c>
      <c r="H438" s="34">
        <v>0</v>
      </c>
      <c r="I438" s="34">
        <v>2243.96</v>
      </c>
      <c r="J438" s="34">
        <v>369.02</v>
      </c>
      <c r="K438" s="34">
        <v>2612.98</v>
      </c>
      <c r="L438" s="33" t="s">
        <v>14</v>
      </c>
      <c r="M438" s="34">
        <f t="shared" si="53"/>
        <v>21.671497584541061</v>
      </c>
      <c r="N438" s="27">
        <v>103.5</v>
      </c>
      <c r="O438" s="34">
        <f t="shared" si="44"/>
        <v>254.64009661835746</v>
      </c>
      <c r="P438" s="35">
        <f t="shared" si="55"/>
        <v>63.66</v>
      </c>
      <c r="Q438" s="40">
        <f t="shared" si="56"/>
        <v>509.28019323671492</v>
      </c>
      <c r="R438" s="35"/>
    </row>
    <row r="439" spans="1:18" x14ac:dyDescent="0.3">
      <c r="A439" s="32">
        <v>43623</v>
      </c>
      <c r="B439" s="33" t="s">
        <v>114</v>
      </c>
      <c r="C439" s="34">
        <v>1611</v>
      </c>
      <c r="D439" s="33">
        <v>80</v>
      </c>
      <c r="E439" s="35">
        <v>300.33</v>
      </c>
      <c r="F439" s="35">
        <v>1629</v>
      </c>
      <c r="G439" s="34">
        <v>318.33</v>
      </c>
      <c r="H439" s="34">
        <v>0</v>
      </c>
      <c r="I439" s="34">
        <v>1929.33</v>
      </c>
      <c r="J439" s="34">
        <v>339.77</v>
      </c>
      <c r="K439" s="34">
        <v>2269.1</v>
      </c>
      <c r="L439" s="33" t="s">
        <v>14</v>
      </c>
      <c r="M439" s="34">
        <f t="shared" si="53"/>
        <v>21.55675977653631</v>
      </c>
      <c r="N439" s="27">
        <v>89.5</v>
      </c>
      <c r="O439" s="34">
        <f t="shared" si="44"/>
        <v>102.39460893854748</v>
      </c>
      <c r="P439" s="35">
        <f t="shared" si="55"/>
        <v>25.6</v>
      </c>
      <c r="Q439" s="40">
        <f t="shared" si="56"/>
        <v>204.78921787709496</v>
      </c>
      <c r="R439" s="35"/>
    </row>
    <row r="440" spans="1:18" x14ac:dyDescent="0.3">
      <c r="A440" s="32">
        <v>43637</v>
      </c>
      <c r="B440" s="33" t="s">
        <v>114</v>
      </c>
      <c r="C440" s="34">
        <v>1836</v>
      </c>
      <c r="D440" s="33">
        <v>80</v>
      </c>
      <c r="E440" s="35">
        <v>300</v>
      </c>
      <c r="F440" s="35">
        <v>1775.44</v>
      </c>
      <c r="G440" s="34">
        <v>239.44</v>
      </c>
      <c r="H440" s="34">
        <v>0</v>
      </c>
      <c r="I440" s="34">
        <v>2075.44</v>
      </c>
      <c r="J440" s="34">
        <v>353.35</v>
      </c>
      <c r="K440" s="34">
        <v>2428.79</v>
      </c>
      <c r="L440" s="33" t="s">
        <v>14</v>
      </c>
      <c r="M440" s="34">
        <f t="shared" si="53"/>
        <v>19.672417061611373</v>
      </c>
      <c r="N440" s="27">
        <v>105.5</v>
      </c>
      <c r="O440" s="34">
        <f t="shared" si="44"/>
        <v>250.82331753554502</v>
      </c>
      <c r="P440" s="35">
        <f t="shared" si="55"/>
        <v>60.2</v>
      </c>
      <c r="Q440" s="40">
        <f t="shared" si="56"/>
        <v>501.64663507109003</v>
      </c>
      <c r="R440" s="35"/>
    </row>
    <row r="441" spans="1:18" x14ac:dyDescent="0.3">
      <c r="A441" s="32">
        <v>43651</v>
      </c>
      <c r="B441" s="33" t="s">
        <v>114</v>
      </c>
      <c r="C441" s="34">
        <v>1615</v>
      </c>
      <c r="D441" s="33">
        <v>80</v>
      </c>
      <c r="E441" s="35">
        <v>191.25</v>
      </c>
      <c r="F441" s="35">
        <v>1615</v>
      </c>
      <c r="G441" s="34">
        <v>191.25</v>
      </c>
      <c r="H441" s="34">
        <v>0</v>
      </c>
      <c r="I441" s="34">
        <v>1806.25</v>
      </c>
      <c r="J441" s="34">
        <v>328.34</v>
      </c>
      <c r="K441" s="34">
        <v>2134.59</v>
      </c>
      <c r="L441" s="33" t="s">
        <v>14</v>
      </c>
      <c r="M441" s="34">
        <f t="shared" si="53"/>
        <v>21.25</v>
      </c>
      <c r="N441" s="27">
        <v>85</v>
      </c>
      <c r="O441" s="34">
        <f t="shared" si="44"/>
        <v>53.125</v>
      </c>
      <c r="P441" s="35">
        <f t="shared" si="55"/>
        <v>12.75</v>
      </c>
      <c r="Q441" s="40">
        <f t="shared" si="56"/>
        <v>106.25</v>
      </c>
      <c r="R441" s="35"/>
    </row>
    <row r="442" spans="1:18" x14ac:dyDescent="0.3">
      <c r="A442" s="32">
        <v>43665</v>
      </c>
      <c r="B442" s="33" t="s">
        <v>114</v>
      </c>
      <c r="C442" s="34">
        <v>1458</v>
      </c>
      <c r="D442" s="36">
        <v>49</v>
      </c>
      <c r="E442" s="35">
        <v>171.24</v>
      </c>
      <c r="F442" s="35">
        <v>1458</v>
      </c>
      <c r="G442" s="34">
        <v>171.24</v>
      </c>
      <c r="H442" s="34">
        <v>0</v>
      </c>
      <c r="I442" s="34">
        <v>1629.24</v>
      </c>
      <c r="J442" s="34">
        <v>311.89</v>
      </c>
      <c r="K442" s="34">
        <v>1941.13</v>
      </c>
      <c r="L442" s="33" t="s">
        <v>14</v>
      </c>
      <c r="M442" s="34">
        <f t="shared" si="53"/>
        <v>20.114074074074075</v>
      </c>
      <c r="N442" s="27">
        <v>81</v>
      </c>
      <c r="O442" s="38">
        <f>(M442*0.5)*9</f>
        <v>90.513333333333335</v>
      </c>
      <c r="P442" s="35">
        <f t="shared" si="55"/>
        <v>20.82</v>
      </c>
      <c r="Q442" s="40">
        <f t="shared" si="56"/>
        <v>181.02666666666667</v>
      </c>
      <c r="R442" s="35"/>
    </row>
    <row r="443" spans="1:18" x14ac:dyDescent="0.3">
      <c r="A443" s="32">
        <v>43679</v>
      </c>
      <c r="B443" s="33" t="s">
        <v>114</v>
      </c>
      <c r="C443" s="34">
        <v>1809</v>
      </c>
      <c r="D443" s="33">
        <v>80</v>
      </c>
      <c r="E443" s="35">
        <v>233.55</v>
      </c>
      <c r="F443" s="35">
        <v>1809</v>
      </c>
      <c r="G443" s="34">
        <v>233.56</v>
      </c>
      <c r="H443" s="34">
        <v>-0.01</v>
      </c>
      <c r="I443" s="34">
        <v>2042.55</v>
      </c>
      <c r="J443" s="34">
        <v>350.3</v>
      </c>
      <c r="K443" s="34">
        <v>2392.85</v>
      </c>
      <c r="L443" s="33" t="s">
        <v>14</v>
      </c>
      <c r="M443" s="34">
        <f t="shared" si="53"/>
        <v>20.323880597014924</v>
      </c>
      <c r="N443" s="27">
        <v>100.5</v>
      </c>
      <c r="O443" s="34">
        <f t="shared" si="44"/>
        <v>208.31977611940297</v>
      </c>
      <c r="P443" s="35">
        <f t="shared" si="55"/>
        <v>47.91</v>
      </c>
      <c r="Q443" s="40">
        <f t="shared" si="56"/>
        <v>416.63955223880595</v>
      </c>
      <c r="R443" s="35"/>
    </row>
    <row r="444" spans="1:18" x14ac:dyDescent="0.3">
      <c r="A444" s="32">
        <v>43693</v>
      </c>
      <c r="B444" s="33" t="s">
        <v>114</v>
      </c>
      <c r="C444" s="34">
        <v>1948</v>
      </c>
      <c r="D444" s="33">
        <v>80</v>
      </c>
      <c r="E444" s="35">
        <v>263.87</v>
      </c>
      <c r="F444" s="35">
        <v>1948</v>
      </c>
      <c r="G444" s="34">
        <v>263.87</v>
      </c>
      <c r="H444" s="34">
        <v>0</v>
      </c>
      <c r="I444" s="34">
        <v>2211.87</v>
      </c>
      <c r="J444" s="34">
        <v>366.03</v>
      </c>
      <c r="K444" s="34">
        <v>2577.9</v>
      </c>
      <c r="L444" s="33" t="s">
        <v>14</v>
      </c>
      <c r="M444" s="34">
        <f t="shared" si="53"/>
        <v>22.80278350515464</v>
      </c>
      <c r="N444" s="27">
        <v>97</v>
      </c>
      <c r="O444" s="34">
        <f t="shared" si="44"/>
        <v>193.82365979381444</v>
      </c>
      <c r="P444" s="35">
        <f t="shared" si="55"/>
        <v>42.64</v>
      </c>
      <c r="Q444" s="40">
        <f t="shared" si="56"/>
        <v>387.64731958762889</v>
      </c>
      <c r="R444" s="35"/>
    </row>
    <row r="445" spans="1:18" x14ac:dyDescent="0.3">
      <c r="A445" s="32">
        <v>43707</v>
      </c>
      <c r="B445" s="33" t="s">
        <v>114</v>
      </c>
      <c r="C445" s="34">
        <v>2126</v>
      </c>
      <c r="D445" s="33">
        <v>80</v>
      </c>
      <c r="E445" s="35">
        <v>309.23</v>
      </c>
      <c r="F445" s="35">
        <v>2156</v>
      </c>
      <c r="G445" s="34">
        <v>309.23</v>
      </c>
      <c r="H445" s="34">
        <v>30</v>
      </c>
      <c r="I445" s="34">
        <v>2465.23</v>
      </c>
      <c r="J445" s="34">
        <v>389.55</v>
      </c>
      <c r="K445" s="34">
        <v>2854.78</v>
      </c>
      <c r="L445" s="33" t="s">
        <v>14</v>
      </c>
      <c r="M445" s="34">
        <f t="shared" si="53"/>
        <v>21.720088105726873</v>
      </c>
      <c r="N445" s="27">
        <v>113.5</v>
      </c>
      <c r="O445" s="34">
        <f t="shared" ref="O445:O525" si="57">((N445-80)*M445)*0.5</f>
        <v>363.81147577092514</v>
      </c>
      <c r="P445" s="35">
        <f t="shared" si="55"/>
        <v>80.040000000000006</v>
      </c>
      <c r="Q445" s="40">
        <f t="shared" si="56"/>
        <v>727.62295154185028</v>
      </c>
      <c r="R445" s="35"/>
    </row>
    <row r="446" spans="1:18" ht="14.25" customHeight="1" x14ac:dyDescent="0.3">
      <c r="A446" s="32">
        <v>43721</v>
      </c>
      <c r="B446" s="33" t="s">
        <v>114</v>
      </c>
      <c r="C446" s="34">
        <v>1653</v>
      </c>
      <c r="D446" s="36">
        <v>59</v>
      </c>
      <c r="E446" s="35">
        <v>199.54</v>
      </c>
      <c r="F446" s="35">
        <v>1653</v>
      </c>
      <c r="G446" s="34">
        <v>199.54</v>
      </c>
      <c r="H446" s="34">
        <v>0</v>
      </c>
      <c r="I446" s="34">
        <v>1852.54</v>
      </c>
      <c r="J446" s="34">
        <v>332.64</v>
      </c>
      <c r="K446" s="34">
        <v>2185.1799999999998</v>
      </c>
      <c r="L446" s="33" t="s">
        <v>14</v>
      </c>
      <c r="M446" s="34">
        <f t="shared" si="53"/>
        <v>19.098350515463917</v>
      </c>
      <c r="N446" s="27">
        <v>97</v>
      </c>
      <c r="O446" s="38">
        <f>(M446*0.5)*19</f>
        <v>181.4343298969072</v>
      </c>
      <c r="P446" s="35">
        <f t="shared" si="55"/>
        <v>38.1</v>
      </c>
      <c r="Q446" s="40">
        <f t="shared" si="56"/>
        <v>362.8686597938144</v>
      </c>
      <c r="R446" s="35"/>
    </row>
    <row r="447" spans="1:18" hidden="1" x14ac:dyDescent="0.3">
      <c r="A447" s="37" t="s">
        <v>77</v>
      </c>
      <c r="B447" s="33" t="s">
        <v>115</v>
      </c>
      <c r="C447" s="34">
        <v>1438</v>
      </c>
      <c r="D447" s="33">
        <v>80</v>
      </c>
      <c r="E447" s="33"/>
      <c r="F447" s="33"/>
      <c r="G447" s="34">
        <v>186.7</v>
      </c>
      <c r="H447" s="34">
        <v>200</v>
      </c>
      <c r="I447" s="34">
        <v>1824.7</v>
      </c>
      <c r="J447" s="34">
        <v>344.1</v>
      </c>
      <c r="K447" s="34">
        <v>2168.8000000000002</v>
      </c>
      <c r="L447" s="33">
        <v>100149</v>
      </c>
      <c r="M447" s="34" t="e">
        <f t="shared" si="53"/>
        <v>#DIV/0!</v>
      </c>
      <c r="N447" s="27"/>
      <c r="O447" s="34" t="e">
        <f t="shared" si="57"/>
        <v>#DIV/0!</v>
      </c>
      <c r="P447" s="35" t="e">
        <f t="shared" si="55"/>
        <v>#VALUE!</v>
      </c>
      <c r="Q447" s="34" t="e">
        <f t="shared" ref="Q447:Q525" si="58">O447*1.5</f>
        <v>#DIV/0!</v>
      </c>
      <c r="R447" s="35">
        <v>409.55</v>
      </c>
    </row>
    <row r="448" spans="1:18" hidden="1" x14ac:dyDescent="0.3">
      <c r="A448" s="37" t="s">
        <v>77</v>
      </c>
      <c r="B448" s="33" t="s">
        <v>115</v>
      </c>
      <c r="C448" s="34">
        <v>1252</v>
      </c>
      <c r="D448" s="33">
        <v>80</v>
      </c>
      <c r="E448" s="33"/>
      <c r="F448" s="33"/>
      <c r="G448" s="34">
        <v>191.34</v>
      </c>
      <c r="H448" s="34">
        <v>440</v>
      </c>
      <c r="I448" s="34">
        <v>1883.34</v>
      </c>
      <c r="J448" s="34">
        <v>350.01</v>
      </c>
      <c r="K448" s="34">
        <v>2233.35</v>
      </c>
      <c r="L448" s="33">
        <v>100157</v>
      </c>
      <c r="M448" s="34" t="e">
        <f t="shared" si="53"/>
        <v>#DIV/0!</v>
      </c>
      <c r="N448" s="27"/>
      <c r="O448" s="34" t="e">
        <f t="shared" si="57"/>
        <v>#DIV/0!</v>
      </c>
      <c r="P448" s="35" t="e">
        <f t="shared" si="55"/>
        <v>#VALUE!</v>
      </c>
      <c r="Q448" s="34" t="e">
        <f t="shared" si="58"/>
        <v>#DIV/0!</v>
      </c>
      <c r="R448" s="35"/>
    </row>
    <row r="449" spans="1:18" hidden="1" x14ac:dyDescent="0.3">
      <c r="A449" s="37" t="s">
        <v>77</v>
      </c>
      <c r="B449" s="33" t="s">
        <v>115</v>
      </c>
      <c r="C449" s="34">
        <v>1313</v>
      </c>
      <c r="D449" s="33">
        <v>80</v>
      </c>
      <c r="E449" s="33"/>
      <c r="F449" s="33"/>
      <c r="G449" s="34">
        <v>503.88</v>
      </c>
      <c r="H449" s="34">
        <v>604</v>
      </c>
      <c r="I449" s="34">
        <v>2420.88</v>
      </c>
      <c r="J449" s="34">
        <v>404.07</v>
      </c>
      <c r="K449" s="34">
        <v>2824.95</v>
      </c>
      <c r="L449" s="33" t="s">
        <v>14</v>
      </c>
      <c r="M449" s="34" t="e">
        <f t="shared" si="53"/>
        <v>#DIV/0!</v>
      </c>
      <c r="N449" s="27"/>
      <c r="O449" s="34" t="e">
        <f t="shared" si="57"/>
        <v>#DIV/0!</v>
      </c>
      <c r="P449" s="35" t="e">
        <f t="shared" si="55"/>
        <v>#VALUE!</v>
      </c>
      <c r="Q449" s="34" t="e">
        <f t="shared" si="58"/>
        <v>#DIV/0!</v>
      </c>
      <c r="R449" s="35"/>
    </row>
    <row r="450" spans="1:18" hidden="1" x14ac:dyDescent="0.3">
      <c r="A450" s="37" t="s">
        <v>77</v>
      </c>
      <c r="B450" s="33" t="s">
        <v>115</v>
      </c>
      <c r="C450" s="34">
        <v>100</v>
      </c>
      <c r="D450" s="33">
        <v>5.5</v>
      </c>
      <c r="E450" s="33"/>
      <c r="F450" s="33"/>
      <c r="G450" s="34">
        <v>11.75</v>
      </c>
      <c r="H450" s="34">
        <v>0</v>
      </c>
      <c r="I450" s="34">
        <v>111.75</v>
      </c>
      <c r="J450" s="34">
        <v>22.28</v>
      </c>
      <c r="K450" s="34">
        <v>134.03</v>
      </c>
      <c r="L450" s="33" t="s">
        <v>14</v>
      </c>
      <c r="M450" s="34" t="e">
        <f t="shared" si="53"/>
        <v>#DIV/0!</v>
      </c>
      <c r="N450" s="27"/>
      <c r="O450" s="34" t="e">
        <f t="shared" si="57"/>
        <v>#DIV/0!</v>
      </c>
      <c r="P450" s="35" t="e">
        <f t="shared" si="55"/>
        <v>#VALUE!</v>
      </c>
      <c r="Q450" s="34" t="e">
        <f t="shared" si="58"/>
        <v>#DIV/0!</v>
      </c>
      <c r="R450" s="35"/>
    </row>
    <row r="451" spans="1:18" x14ac:dyDescent="0.3">
      <c r="A451" s="77">
        <v>43407</v>
      </c>
      <c r="B451" s="76" t="s">
        <v>120</v>
      </c>
      <c r="C451" s="34"/>
      <c r="D451" s="88">
        <v>47</v>
      </c>
      <c r="E451" s="35"/>
      <c r="F451" s="35"/>
      <c r="G451" s="34"/>
      <c r="H451" s="34"/>
      <c r="I451" s="34"/>
      <c r="J451" s="34"/>
      <c r="K451" s="34"/>
      <c r="L451" s="33"/>
      <c r="M451" s="38">
        <v>26.26</v>
      </c>
      <c r="N451" s="75">
        <v>47</v>
      </c>
      <c r="O451" s="50">
        <f>(M451*40)+(M451*1.5)*7</f>
        <v>1326.13</v>
      </c>
      <c r="P451" s="35">
        <f t="shared" si="55"/>
        <v>424.36</v>
      </c>
      <c r="Q451" s="40">
        <f t="shared" ref="Q451:Q466" si="59">O451*2</f>
        <v>2652.26</v>
      </c>
      <c r="R451" s="35">
        <v>556.29999999999995</v>
      </c>
    </row>
    <row r="452" spans="1:18" x14ac:dyDescent="0.3">
      <c r="A452" s="77">
        <v>43421</v>
      </c>
      <c r="B452" s="76" t="s">
        <v>120</v>
      </c>
      <c r="C452" s="34"/>
      <c r="D452" s="88">
        <v>130</v>
      </c>
      <c r="E452" s="35"/>
      <c r="F452" s="35"/>
      <c r="G452" s="34"/>
      <c r="H452" s="34"/>
      <c r="I452" s="34"/>
      <c r="J452" s="34"/>
      <c r="K452" s="34"/>
      <c r="L452" s="33"/>
      <c r="M452" s="38">
        <v>26.26</v>
      </c>
      <c r="N452" s="75">
        <v>130</v>
      </c>
      <c r="O452" s="50">
        <f>(M452*80)+(N452-80)*(M452*1.5)</f>
        <v>4070.3</v>
      </c>
      <c r="P452" s="35">
        <f t="shared" si="55"/>
        <v>1261.79</v>
      </c>
      <c r="Q452" s="40">
        <f t="shared" si="59"/>
        <v>8140.6</v>
      </c>
      <c r="R452" s="35"/>
    </row>
    <row r="453" spans="1:18" x14ac:dyDescent="0.3">
      <c r="A453" s="77">
        <v>43435</v>
      </c>
      <c r="B453" s="76" t="s">
        <v>120</v>
      </c>
      <c r="C453" s="34"/>
      <c r="D453" s="88">
        <v>77.5</v>
      </c>
      <c r="E453" s="35"/>
      <c r="F453" s="35"/>
      <c r="G453" s="34"/>
      <c r="H453" s="34"/>
      <c r="I453" s="34"/>
      <c r="J453" s="34"/>
      <c r="K453" s="34"/>
      <c r="L453" s="33"/>
      <c r="M453" s="38">
        <v>26.26</v>
      </c>
      <c r="N453" s="78">
        <v>77.5</v>
      </c>
      <c r="O453" s="50">
        <f>(M453*64)+(M453*1.5)*13.5</f>
        <v>2212.4050000000002</v>
      </c>
      <c r="P453" s="35">
        <f t="shared" si="55"/>
        <v>685.85</v>
      </c>
      <c r="Q453" s="40">
        <f t="shared" si="59"/>
        <v>4424.8100000000004</v>
      </c>
      <c r="R453" s="35"/>
    </row>
    <row r="454" spans="1:18" x14ac:dyDescent="0.3">
      <c r="A454" s="77">
        <v>43449</v>
      </c>
      <c r="B454" s="76" t="s">
        <v>120</v>
      </c>
      <c r="C454" s="34"/>
      <c r="D454" s="88">
        <v>122</v>
      </c>
      <c r="E454" s="35"/>
      <c r="F454" s="35"/>
      <c r="G454" s="34"/>
      <c r="H454" s="34"/>
      <c r="I454" s="34"/>
      <c r="J454" s="34"/>
      <c r="K454" s="34"/>
      <c r="L454" s="33"/>
      <c r="M454" s="38">
        <v>26.26</v>
      </c>
      <c r="N454" s="75">
        <v>122</v>
      </c>
      <c r="O454" s="50">
        <f t="shared" ref="O454:O455" si="60">(M454*80)+(N454-80)*(M454*1.5)</f>
        <v>3755.1800000000003</v>
      </c>
      <c r="P454" s="35">
        <f t="shared" si="55"/>
        <v>1126.55</v>
      </c>
      <c r="Q454" s="40">
        <f t="shared" si="59"/>
        <v>7510.3600000000006</v>
      </c>
      <c r="R454" s="35"/>
    </row>
    <row r="455" spans="1:18" x14ac:dyDescent="0.3">
      <c r="A455" s="77">
        <v>43463</v>
      </c>
      <c r="B455" s="76" t="s">
        <v>120</v>
      </c>
      <c r="C455" s="34"/>
      <c r="D455" s="88">
        <v>94.5</v>
      </c>
      <c r="E455" s="35"/>
      <c r="F455" s="35"/>
      <c r="G455" s="34"/>
      <c r="H455" s="34"/>
      <c r="I455" s="34"/>
      <c r="J455" s="34"/>
      <c r="K455" s="34"/>
      <c r="L455" s="33"/>
      <c r="M455" s="38">
        <v>26.26</v>
      </c>
      <c r="N455" s="75">
        <v>94.5</v>
      </c>
      <c r="O455" s="50">
        <f t="shared" si="60"/>
        <v>2671.9549999999999</v>
      </c>
      <c r="P455" s="35">
        <f t="shared" si="55"/>
        <v>801.59</v>
      </c>
      <c r="Q455" s="40">
        <f t="shared" si="59"/>
        <v>5343.91</v>
      </c>
      <c r="R455" s="35"/>
    </row>
    <row r="456" spans="1:18" x14ac:dyDescent="0.3">
      <c r="A456" s="37">
        <v>43785</v>
      </c>
      <c r="B456" s="36" t="s">
        <v>116</v>
      </c>
      <c r="C456" s="34"/>
      <c r="D456" s="31">
        <v>12</v>
      </c>
      <c r="E456" s="35"/>
      <c r="F456" s="35"/>
      <c r="G456" s="34"/>
      <c r="H456" s="34"/>
      <c r="I456" s="34"/>
      <c r="J456" s="34"/>
      <c r="K456" s="34"/>
      <c r="L456" s="33"/>
      <c r="M456" s="38">
        <v>26.26</v>
      </c>
      <c r="N456" s="30">
        <v>12</v>
      </c>
      <c r="O456" s="50">
        <f>N456*M456</f>
        <v>315.12</v>
      </c>
      <c r="P456" s="35">
        <f t="shared" si="55"/>
        <v>59.87</v>
      </c>
      <c r="Q456" s="40">
        <f t="shared" si="59"/>
        <v>630.24</v>
      </c>
      <c r="R456" s="35">
        <v>556.29999999999995</v>
      </c>
    </row>
    <row r="457" spans="1:18" x14ac:dyDescent="0.3">
      <c r="A457" s="37">
        <v>43799</v>
      </c>
      <c r="B457" s="36" t="s">
        <v>116</v>
      </c>
      <c r="C457" s="34"/>
      <c r="D457" s="31">
        <v>82</v>
      </c>
      <c r="E457" s="35"/>
      <c r="F457" s="35"/>
      <c r="G457" s="34"/>
      <c r="H457" s="34"/>
      <c r="I457" s="34"/>
      <c r="J457" s="34"/>
      <c r="K457" s="34"/>
      <c r="L457" s="33"/>
      <c r="M457" s="38">
        <v>26.26</v>
      </c>
      <c r="N457" s="30">
        <v>82</v>
      </c>
      <c r="O457" s="50">
        <f>(M457*67.5)+(M457*1.5)*14.5</f>
        <v>2343.7049999999999</v>
      </c>
      <c r="P457" s="35">
        <f t="shared" si="55"/>
        <v>445.3</v>
      </c>
      <c r="Q457" s="40">
        <f t="shared" si="59"/>
        <v>4687.41</v>
      </c>
      <c r="R457" s="35"/>
    </row>
    <row r="458" spans="1:18" x14ac:dyDescent="0.3">
      <c r="A458" s="37">
        <v>43813</v>
      </c>
      <c r="B458" s="36" t="s">
        <v>116</v>
      </c>
      <c r="C458" s="34"/>
      <c r="D458" s="31">
        <v>88.5</v>
      </c>
      <c r="E458" s="35"/>
      <c r="F458" s="35"/>
      <c r="G458" s="34"/>
      <c r="H458" s="34"/>
      <c r="I458" s="34"/>
      <c r="J458" s="34"/>
      <c r="K458" s="34"/>
      <c r="L458" s="33"/>
      <c r="M458" s="38">
        <v>26.26</v>
      </c>
      <c r="N458" s="30">
        <v>88.5</v>
      </c>
      <c r="O458" s="50">
        <f>(M458*80)+(N458-80)*(M458*1.5)</f>
        <v>2435.6150000000002</v>
      </c>
      <c r="P458" s="35">
        <f t="shared" si="55"/>
        <v>438.41</v>
      </c>
      <c r="Q458" s="40">
        <f t="shared" si="59"/>
        <v>4871.2300000000005</v>
      </c>
      <c r="R458" s="35"/>
    </row>
    <row r="459" spans="1:18" x14ac:dyDescent="0.3">
      <c r="A459" s="37">
        <v>43827</v>
      </c>
      <c r="B459" s="36" t="s">
        <v>116</v>
      </c>
      <c r="C459" s="34"/>
      <c r="D459" s="31">
        <v>67.5</v>
      </c>
      <c r="E459" s="35"/>
      <c r="F459" s="35"/>
      <c r="G459" s="34"/>
      <c r="H459" s="34"/>
      <c r="I459" s="34"/>
      <c r="J459" s="34"/>
      <c r="K459" s="34"/>
      <c r="L459" s="33"/>
      <c r="M459" s="38">
        <v>26.26</v>
      </c>
      <c r="N459" s="30">
        <v>67.5</v>
      </c>
      <c r="O459" s="50">
        <f>(M459*63.5)+(M459*1.5)*4</f>
        <v>1825.07</v>
      </c>
      <c r="P459" s="35">
        <f t="shared" si="55"/>
        <v>328.51</v>
      </c>
      <c r="Q459" s="40">
        <f t="shared" si="59"/>
        <v>3650.14</v>
      </c>
      <c r="R459" s="35"/>
    </row>
    <row r="460" spans="1:18" x14ac:dyDescent="0.3">
      <c r="A460" s="37">
        <v>43841</v>
      </c>
      <c r="B460" s="36" t="s">
        <v>116</v>
      </c>
      <c r="C460" s="34"/>
      <c r="D460" s="31">
        <v>79.5</v>
      </c>
      <c r="E460" s="35"/>
      <c r="F460" s="35"/>
      <c r="G460" s="34"/>
      <c r="H460" s="34"/>
      <c r="I460" s="34"/>
      <c r="J460" s="34"/>
      <c r="K460" s="34"/>
      <c r="L460" s="33"/>
      <c r="M460" s="38">
        <v>26.26</v>
      </c>
      <c r="N460" s="30">
        <v>79.5</v>
      </c>
      <c r="O460" s="50">
        <f>(M460*74.5)+(M460*1.5)*5</f>
        <v>2153.3200000000002</v>
      </c>
      <c r="P460" s="35">
        <f t="shared" si="55"/>
        <v>366.06</v>
      </c>
      <c r="Q460" s="40">
        <f t="shared" si="59"/>
        <v>4306.6400000000003</v>
      </c>
      <c r="R460" s="35"/>
    </row>
    <row r="461" spans="1:18" x14ac:dyDescent="0.3">
      <c r="A461" s="37">
        <v>43490</v>
      </c>
      <c r="B461" s="36" t="s">
        <v>116</v>
      </c>
      <c r="C461" s="34"/>
      <c r="D461" s="31">
        <v>62</v>
      </c>
      <c r="E461" s="35"/>
      <c r="F461" s="35"/>
      <c r="G461" s="34"/>
      <c r="H461" s="34"/>
      <c r="I461" s="34"/>
      <c r="J461" s="34"/>
      <c r="K461" s="34"/>
      <c r="L461" s="33"/>
      <c r="M461" s="38">
        <v>26.26</v>
      </c>
      <c r="N461" s="30">
        <v>62</v>
      </c>
      <c r="O461" s="50">
        <f>(M461*56.5)+(M461*1.5)*5.5</f>
        <v>1700.335</v>
      </c>
      <c r="P461" s="35">
        <f t="shared" si="55"/>
        <v>493.1</v>
      </c>
      <c r="Q461" s="40">
        <f t="shared" si="59"/>
        <v>3400.67</v>
      </c>
      <c r="R461" s="35"/>
    </row>
    <row r="462" spans="1:18" x14ac:dyDescent="0.3">
      <c r="A462" s="37">
        <v>43869</v>
      </c>
      <c r="B462" s="36" t="s">
        <v>116</v>
      </c>
      <c r="C462" s="34"/>
      <c r="D462" s="31">
        <v>97</v>
      </c>
      <c r="E462" s="35"/>
      <c r="F462" s="35"/>
      <c r="G462" s="34"/>
      <c r="H462" s="34"/>
      <c r="I462" s="34"/>
      <c r="J462" s="34"/>
      <c r="K462" s="34"/>
      <c r="L462" s="33"/>
      <c r="M462" s="38">
        <v>26.26</v>
      </c>
      <c r="N462" s="30">
        <v>97</v>
      </c>
      <c r="O462" s="50">
        <f>(M462*77)+(M462*1.5)*20</f>
        <v>2809.82</v>
      </c>
      <c r="P462" s="35">
        <f t="shared" si="55"/>
        <v>449.57</v>
      </c>
      <c r="Q462" s="40">
        <f t="shared" si="59"/>
        <v>5619.64</v>
      </c>
      <c r="R462" s="35"/>
    </row>
    <row r="463" spans="1:18" x14ac:dyDescent="0.3">
      <c r="A463" s="37">
        <v>43883</v>
      </c>
      <c r="B463" s="36" t="s">
        <v>116</v>
      </c>
      <c r="C463" s="34"/>
      <c r="D463" s="31">
        <v>102.5</v>
      </c>
      <c r="E463" s="35"/>
      <c r="F463" s="35"/>
      <c r="G463" s="34"/>
      <c r="H463" s="34"/>
      <c r="I463" s="34"/>
      <c r="J463" s="34"/>
      <c r="K463" s="34"/>
      <c r="L463" s="33"/>
      <c r="M463" s="38">
        <v>26.26</v>
      </c>
      <c r="N463" s="30">
        <v>102.5</v>
      </c>
      <c r="O463" s="50">
        <f>(M463*80)+(N463-80)*(M463*1.5)</f>
        <v>2987.0750000000003</v>
      </c>
      <c r="P463" s="35">
        <f t="shared" si="55"/>
        <v>477.93</v>
      </c>
      <c r="Q463" s="40">
        <f t="shared" si="59"/>
        <v>5974.1500000000005</v>
      </c>
      <c r="R463" s="35"/>
    </row>
    <row r="464" spans="1:18" x14ac:dyDescent="0.3">
      <c r="A464" s="32">
        <v>43441</v>
      </c>
      <c r="B464" s="33" t="s">
        <v>117</v>
      </c>
      <c r="C464" s="34">
        <v>720</v>
      </c>
      <c r="D464" s="30">
        <v>40</v>
      </c>
      <c r="E464" s="35">
        <v>104.69</v>
      </c>
      <c r="F464" s="35">
        <v>720</v>
      </c>
      <c r="G464" s="34">
        <v>104.69</v>
      </c>
      <c r="H464" s="34">
        <v>0</v>
      </c>
      <c r="I464" s="34">
        <v>824.69</v>
      </c>
      <c r="J464" s="34">
        <v>163.22999999999999</v>
      </c>
      <c r="K464" s="34">
        <v>987.92</v>
      </c>
      <c r="L464" s="33">
        <v>100109</v>
      </c>
      <c r="M464" s="34">
        <f t="shared" si="53"/>
        <v>20.617250000000002</v>
      </c>
      <c r="N464" s="27">
        <v>40</v>
      </c>
      <c r="O464" s="34">
        <v>0</v>
      </c>
      <c r="P464" s="35">
        <f t="shared" si="55"/>
        <v>0</v>
      </c>
      <c r="Q464" s="40">
        <f t="shared" si="59"/>
        <v>0</v>
      </c>
      <c r="R464" s="35">
        <v>556.29999999999995</v>
      </c>
    </row>
    <row r="465" spans="1:18" x14ac:dyDescent="0.3">
      <c r="A465" s="32">
        <v>43455</v>
      </c>
      <c r="B465" s="33" t="s">
        <v>117</v>
      </c>
      <c r="C465" s="34">
        <v>1328</v>
      </c>
      <c r="D465" s="33">
        <v>80</v>
      </c>
      <c r="E465" s="35">
        <v>341.59</v>
      </c>
      <c r="F465" s="35">
        <v>1760</v>
      </c>
      <c r="G465" s="34">
        <v>373.59</v>
      </c>
      <c r="H465" s="34">
        <v>400</v>
      </c>
      <c r="I465" s="34">
        <v>2101.59</v>
      </c>
      <c r="J465" s="34">
        <v>371.96</v>
      </c>
      <c r="K465" s="34">
        <v>2473.5500000000002</v>
      </c>
      <c r="L465" s="33">
        <v>100117</v>
      </c>
      <c r="M465" s="34">
        <f t="shared" si="53"/>
        <v>21.891562500000003</v>
      </c>
      <c r="N465" s="27">
        <v>96</v>
      </c>
      <c r="O465" s="34">
        <f t="shared" si="57"/>
        <v>175.13250000000002</v>
      </c>
      <c r="P465" s="35">
        <f t="shared" si="55"/>
        <v>52.54</v>
      </c>
      <c r="Q465" s="40">
        <f t="shared" si="59"/>
        <v>350.26500000000004</v>
      </c>
      <c r="R465" s="35"/>
    </row>
    <row r="466" spans="1:18" x14ac:dyDescent="0.3">
      <c r="A466" s="32">
        <v>43469</v>
      </c>
      <c r="B466" s="33" t="s">
        <v>117</v>
      </c>
      <c r="C466" s="34">
        <v>1144</v>
      </c>
      <c r="D466" s="36">
        <v>51</v>
      </c>
      <c r="E466" s="35">
        <v>374.48</v>
      </c>
      <c r="F466" s="35">
        <v>1440</v>
      </c>
      <c r="G466" s="34">
        <v>320.48</v>
      </c>
      <c r="H466" s="34">
        <v>350</v>
      </c>
      <c r="I466" s="34">
        <v>1814.48</v>
      </c>
      <c r="J466" s="34">
        <v>343.08</v>
      </c>
      <c r="K466" s="34">
        <v>2157.56</v>
      </c>
      <c r="L466" s="33">
        <v>100123</v>
      </c>
      <c r="M466" s="34">
        <f t="shared" si="53"/>
        <v>21.861204819277109</v>
      </c>
      <c r="N466" s="27">
        <v>83</v>
      </c>
      <c r="O466" s="38">
        <f>(M466*0.5)*11</f>
        <v>120.23662650602409</v>
      </c>
      <c r="P466" s="35">
        <f t="shared" si="55"/>
        <v>36.07</v>
      </c>
      <c r="Q466" s="40">
        <f t="shared" si="59"/>
        <v>240.47325301204819</v>
      </c>
      <c r="R466" s="35"/>
    </row>
    <row r="467" spans="1:18" hidden="1" x14ac:dyDescent="0.3">
      <c r="A467" s="37" t="s">
        <v>77</v>
      </c>
      <c r="B467" s="33" t="s">
        <v>117</v>
      </c>
      <c r="C467" s="34">
        <v>1136</v>
      </c>
      <c r="D467" s="33">
        <v>80</v>
      </c>
      <c r="E467" s="33">
        <v>306.51</v>
      </c>
      <c r="F467" s="33">
        <v>1440</v>
      </c>
      <c r="G467" s="34">
        <v>180.51</v>
      </c>
      <c r="H467" s="34">
        <v>430</v>
      </c>
      <c r="I467" s="34">
        <v>1746.51</v>
      </c>
      <c r="J467" s="34">
        <v>336.23</v>
      </c>
      <c r="K467" s="34">
        <v>2082.7399999999998</v>
      </c>
      <c r="L467" s="33">
        <v>100132</v>
      </c>
      <c r="M467" s="34" t="e">
        <f t="shared" si="53"/>
        <v>#DIV/0!</v>
      </c>
      <c r="N467" s="27"/>
      <c r="O467" s="34" t="e">
        <f t="shared" si="57"/>
        <v>#DIV/0!</v>
      </c>
      <c r="P467" s="35" t="e">
        <f t="shared" si="55"/>
        <v>#VALUE!</v>
      </c>
      <c r="Q467" s="34" t="e">
        <f t="shared" si="58"/>
        <v>#DIV/0!</v>
      </c>
      <c r="R467" s="35"/>
    </row>
    <row r="468" spans="1:18" x14ac:dyDescent="0.3">
      <c r="A468" s="32">
        <v>43497</v>
      </c>
      <c r="B468" s="33" t="s">
        <v>117</v>
      </c>
      <c r="C468" s="34">
        <v>1648</v>
      </c>
      <c r="D468" s="33">
        <v>80</v>
      </c>
      <c r="E468" s="35">
        <v>566.75</v>
      </c>
      <c r="F468" s="35">
        <v>1440</v>
      </c>
      <c r="G468" s="34">
        <v>358.75</v>
      </c>
      <c r="H468" s="34">
        <v>0</v>
      </c>
      <c r="I468" s="34">
        <v>2006.75</v>
      </c>
      <c r="J468" s="34">
        <v>362.42</v>
      </c>
      <c r="K468" s="34">
        <v>2369.17</v>
      </c>
      <c r="L468" s="33">
        <v>100141</v>
      </c>
      <c r="M468" s="34">
        <f t="shared" si="53"/>
        <v>19.868811881188119</v>
      </c>
      <c r="N468" s="27">
        <v>101</v>
      </c>
      <c r="O468" s="34">
        <f t="shared" si="57"/>
        <v>208.62252475247524</v>
      </c>
      <c r="P468" s="35">
        <f t="shared" si="55"/>
        <v>60.5</v>
      </c>
      <c r="Q468" s="40">
        <f>O468*2</f>
        <v>417.24504950495049</v>
      </c>
      <c r="R468" s="35"/>
    </row>
    <row r="469" spans="1:18" hidden="1" x14ac:dyDescent="0.3">
      <c r="A469" s="37" t="s">
        <v>77</v>
      </c>
      <c r="B469" s="33" t="s">
        <v>117</v>
      </c>
      <c r="C469" s="34">
        <v>1911</v>
      </c>
      <c r="D469" s="33">
        <v>80</v>
      </c>
      <c r="E469" s="33">
        <v>210.13</v>
      </c>
      <c r="F469" s="33">
        <v>1911</v>
      </c>
      <c r="G469" s="34">
        <v>210.13</v>
      </c>
      <c r="H469" s="34">
        <v>0</v>
      </c>
      <c r="I469" s="34">
        <v>2121.13</v>
      </c>
      <c r="J469" s="34">
        <v>369.79</v>
      </c>
      <c r="K469" s="34">
        <v>2490.92</v>
      </c>
      <c r="L469" s="33" t="s">
        <v>14</v>
      </c>
      <c r="M469" s="34" t="e">
        <f t="shared" si="53"/>
        <v>#DIV/0!</v>
      </c>
      <c r="N469" s="27"/>
      <c r="O469" s="34" t="e">
        <f t="shared" si="57"/>
        <v>#DIV/0!</v>
      </c>
      <c r="P469" s="35" t="e">
        <f t="shared" si="55"/>
        <v>#VALUE!</v>
      </c>
      <c r="Q469" s="34" t="e">
        <f t="shared" si="58"/>
        <v>#DIV/0!</v>
      </c>
      <c r="R469" s="35"/>
    </row>
    <row r="470" spans="1:18" hidden="1" x14ac:dyDescent="0.3">
      <c r="A470" s="37" t="s">
        <v>77</v>
      </c>
      <c r="B470" s="33" t="s">
        <v>117</v>
      </c>
      <c r="C470" s="34">
        <v>1687</v>
      </c>
      <c r="D470" s="33">
        <v>0</v>
      </c>
      <c r="E470" s="33">
        <v>1687</v>
      </c>
      <c r="F470" s="33"/>
      <c r="G470" s="34">
        <v>315.38</v>
      </c>
      <c r="H470" s="34">
        <v>0</v>
      </c>
      <c r="I470" s="34">
        <v>2002.38</v>
      </c>
      <c r="J470" s="34">
        <v>189.42</v>
      </c>
      <c r="K470" s="34">
        <v>2191.8000000000002</v>
      </c>
      <c r="L470" s="33" t="s">
        <v>14</v>
      </c>
      <c r="M470" s="34" t="e">
        <f t="shared" si="53"/>
        <v>#DIV/0!</v>
      </c>
      <c r="N470" s="27"/>
      <c r="O470" s="34" t="e">
        <f t="shared" si="57"/>
        <v>#DIV/0!</v>
      </c>
      <c r="P470" s="35" t="e">
        <f t="shared" si="55"/>
        <v>#VALUE!</v>
      </c>
      <c r="Q470" s="34" t="e">
        <f t="shared" si="58"/>
        <v>#DIV/0!</v>
      </c>
      <c r="R470" s="35"/>
    </row>
    <row r="471" spans="1:18" hidden="1" x14ac:dyDescent="0.3">
      <c r="A471" s="37" t="s">
        <v>77</v>
      </c>
      <c r="B471" s="33" t="s">
        <v>117</v>
      </c>
      <c r="C471" s="34">
        <v>2236</v>
      </c>
      <c r="D471" s="33">
        <v>80</v>
      </c>
      <c r="E471" s="33">
        <v>1385.3</v>
      </c>
      <c r="F471" s="33">
        <v>1440</v>
      </c>
      <c r="G471" s="34">
        <v>589.29999999999995</v>
      </c>
      <c r="H471" s="34">
        <v>0</v>
      </c>
      <c r="I471" s="34">
        <v>2825.3</v>
      </c>
      <c r="J471" s="34">
        <v>427.83</v>
      </c>
      <c r="K471" s="34">
        <v>3253.13</v>
      </c>
      <c r="L471" s="33" t="s">
        <v>14</v>
      </c>
      <c r="M471" s="34" t="e">
        <f t="shared" si="53"/>
        <v>#DIV/0!</v>
      </c>
      <c r="N471" s="27"/>
      <c r="O471" s="34" t="e">
        <f t="shared" si="57"/>
        <v>#DIV/0!</v>
      </c>
      <c r="P471" s="35" t="e">
        <f t="shared" si="55"/>
        <v>#VALUE!</v>
      </c>
      <c r="Q471" s="34" t="e">
        <f t="shared" si="58"/>
        <v>#DIV/0!</v>
      </c>
      <c r="R471" s="35"/>
    </row>
    <row r="472" spans="1:18" x14ac:dyDescent="0.3">
      <c r="A472" s="32">
        <v>43553</v>
      </c>
      <c r="B472" s="33" t="s">
        <v>117</v>
      </c>
      <c r="C472" s="34">
        <v>1288</v>
      </c>
      <c r="D472" s="30">
        <v>28</v>
      </c>
      <c r="E472" s="35">
        <v>554.26</v>
      </c>
      <c r="F472" s="35">
        <v>1440</v>
      </c>
      <c r="G472" s="34">
        <v>356.26</v>
      </c>
      <c r="H472" s="34">
        <v>350</v>
      </c>
      <c r="I472" s="34">
        <v>1994.26</v>
      </c>
      <c r="J472" s="34">
        <v>349.19</v>
      </c>
      <c r="K472" s="34">
        <v>2343.4499999999998</v>
      </c>
      <c r="L472" s="33" t="s">
        <v>14</v>
      </c>
      <c r="M472" s="34">
        <f t="shared" si="53"/>
        <v>71.223571428571432</v>
      </c>
      <c r="N472" s="27">
        <v>28</v>
      </c>
      <c r="O472" s="34">
        <v>0</v>
      </c>
      <c r="P472" s="35">
        <f t="shared" si="55"/>
        <v>0</v>
      </c>
      <c r="Q472" s="40">
        <f t="shared" ref="Q472:Q475" si="61">O472*2</f>
        <v>0</v>
      </c>
      <c r="R472" s="35"/>
    </row>
    <row r="473" spans="1:18" x14ac:dyDescent="0.3">
      <c r="A473" s="32">
        <v>43567</v>
      </c>
      <c r="B473" s="33" t="s">
        <v>117</v>
      </c>
      <c r="C473" s="34">
        <v>1808</v>
      </c>
      <c r="D473" s="33">
        <v>80</v>
      </c>
      <c r="E473" s="35">
        <v>831.76</v>
      </c>
      <c r="F473" s="35">
        <v>1440</v>
      </c>
      <c r="G473" s="34">
        <v>423.76</v>
      </c>
      <c r="H473" s="34">
        <v>40</v>
      </c>
      <c r="I473" s="34">
        <v>2271.7600000000002</v>
      </c>
      <c r="J473" s="34">
        <v>375.44</v>
      </c>
      <c r="K473" s="34">
        <v>2647.2</v>
      </c>
      <c r="L473" s="33" t="s">
        <v>14</v>
      </c>
      <c r="M473" s="34">
        <f t="shared" si="53"/>
        <v>25.815454545454546</v>
      </c>
      <c r="N473" s="27">
        <v>88</v>
      </c>
      <c r="O473" s="34">
        <f t="shared" si="57"/>
        <v>103.26181818181819</v>
      </c>
      <c r="P473" s="35">
        <f t="shared" si="55"/>
        <v>27.88</v>
      </c>
      <c r="Q473" s="40">
        <f t="shared" si="61"/>
        <v>206.52363636363637</v>
      </c>
      <c r="R473" s="35"/>
    </row>
    <row r="474" spans="1:18" x14ac:dyDescent="0.3">
      <c r="A474" s="32">
        <v>43581</v>
      </c>
      <c r="B474" s="33" t="s">
        <v>117</v>
      </c>
      <c r="C474" s="34">
        <v>1488</v>
      </c>
      <c r="D474" s="33">
        <v>80</v>
      </c>
      <c r="E474" s="35">
        <v>831.76</v>
      </c>
      <c r="F474" s="35">
        <v>1440</v>
      </c>
      <c r="G474" s="34">
        <v>423.76</v>
      </c>
      <c r="H474" s="34">
        <v>360</v>
      </c>
      <c r="I474" s="34">
        <v>2271.7600000000002</v>
      </c>
      <c r="J474" s="34">
        <v>371.59</v>
      </c>
      <c r="K474" s="34">
        <v>2643.35</v>
      </c>
      <c r="L474" s="33" t="s">
        <v>14</v>
      </c>
      <c r="M474" s="34">
        <f t="shared" si="53"/>
        <v>25.815454545454546</v>
      </c>
      <c r="N474" s="27">
        <v>88</v>
      </c>
      <c r="O474" s="34">
        <f t="shared" si="57"/>
        <v>103.26181818181819</v>
      </c>
      <c r="P474" s="35">
        <f t="shared" si="55"/>
        <v>26.85</v>
      </c>
      <c r="Q474" s="40">
        <f t="shared" si="61"/>
        <v>206.52363636363637</v>
      </c>
      <c r="R474" s="35"/>
    </row>
    <row r="475" spans="1:18" x14ac:dyDescent="0.3">
      <c r="A475" s="32">
        <v>43595</v>
      </c>
      <c r="B475" s="33" t="s">
        <v>117</v>
      </c>
      <c r="C475" s="34">
        <v>1806</v>
      </c>
      <c r="D475" s="30">
        <v>36</v>
      </c>
      <c r="E475" s="35">
        <v>771.84</v>
      </c>
      <c r="F475" s="35">
        <v>1440</v>
      </c>
      <c r="G475" s="34">
        <v>405.84</v>
      </c>
      <c r="H475" s="34">
        <v>0</v>
      </c>
      <c r="I475" s="34">
        <v>2211.84</v>
      </c>
      <c r="J475" s="34">
        <v>366.01</v>
      </c>
      <c r="K475" s="34">
        <v>2577.85</v>
      </c>
      <c r="L475" s="33" t="s">
        <v>14</v>
      </c>
      <c r="M475" s="34">
        <f t="shared" si="53"/>
        <v>61.440000000000005</v>
      </c>
      <c r="N475" s="27">
        <v>36</v>
      </c>
      <c r="O475" s="34">
        <v>0</v>
      </c>
      <c r="P475" s="35">
        <f t="shared" si="55"/>
        <v>0</v>
      </c>
      <c r="Q475" s="40">
        <f t="shared" si="61"/>
        <v>0</v>
      </c>
      <c r="R475" s="35"/>
    </row>
    <row r="476" spans="1:18" hidden="1" x14ac:dyDescent="0.3">
      <c r="A476" s="37" t="s">
        <v>77</v>
      </c>
      <c r="B476" s="33" t="s">
        <v>117</v>
      </c>
      <c r="C476" s="34">
        <v>1941</v>
      </c>
      <c r="D476" s="33">
        <v>80</v>
      </c>
      <c r="E476" s="33">
        <v>1535.08</v>
      </c>
      <c r="F476" s="33">
        <v>1440</v>
      </c>
      <c r="G476" s="34">
        <v>634.08000000000004</v>
      </c>
      <c r="H476" s="34">
        <v>400</v>
      </c>
      <c r="I476" s="34">
        <v>2975.08</v>
      </c>
      <c r="J476" s="34">
        <v>436.93</v>
      </c>
      <c r="K476" s="34">
        <v>3412.01</v>
      </c>
      <c r="L476" s="33" t="s">
        <v>14</v>
      </c>
      <c r="M476" s="34" t="e">
        <f t="shared" si="53"/>
        <v>#DIV/0!</v>
      </c>
      <c r="N476" s="27"/>
      <c r="O476" s="34" t="e">
        <f t="shared" si="57"/>
        <v>#DIV/0!</v>
      </c>
      <c r="P476" s="35" t="e">
        <f t="shared" si="55"/>
        <v>#VALUE!</v>
      </c>
      <c r="Q476" s="34" t="e">
        <f t="shared" si="58"/>
        <v>#DIV/0!</v>
      </c>
      <c r="R476" s="35"/>
    </row>
    <row r="477" spans="1:18" hidden="1" x14ac:dyDescent="0.3">
      <c r="A477" s="37" t="s">
        <v>77</v>
      </c>
      <c r="B477" s="33" t="s">
        <v>117</v>
      </c>
      <c r="C477" s="34">
        <v>1933</v>
      </c>
      <c r="D477" s="33">
        <v>80</v>
      </c>
      <c r="E477" s="33">
        <v>995.81</v>
      </c>
      <c r="F477" s="33">
        <v>1440</v>
      </c>
      <c r="G477" s="34">
        <v>472.81</v>
      </c>
      <c r="H477" s="34">
        <v>30</v>
      </c>
      <c r="I477" s="34">
        <v>2435.81</v>
      </c>
      <c r="J477" s="34">
        <v>386.83</v>
      </c>
      <c r="K477" s="34">
        <v>2822.64</v>
      </c>
      <c r="L477" s="33" t="s">
        <v>14</v>
      </c>
      <c r="M477" s="34" t="e">
        <f t="shared" si="53"/>
        <v>#DIV/0!</v>
      </c>
      <c r="N477" s="27"/>
      <c r="O477" s="34" t="e">
        <f t="shared" si="57"/>
        <v>#DIV/0!</v>
      </c>
      <c r="P477" s="35" t="e">
        <f t="shared" si="55"/>
        <v>#VALUE!</v>
      </c>
      <c r="Q477" s="34" t="e">
        <f t="shared" si="58"/>
        <v>#DIV/0!</v>
      </c>
      <c r="R477" s="35"/>
    </row>
    <row r="478" spans="1:18" x14ac:dyDescent="0.3">
      <c r="A478" s="32">
        <v>43637</v>
      </c>
      <c r="B478" s="33" t="s">
        <v>117</v>
      </c>
      <c r="C478" s="34">
        <v>1877</v>
      </c>
      <c r="D478" s="30">
        <v>51</v>
      </c>
      <c r="E478" s="35">
        <v>1138.1500000000001</v>
      </c>
      <c r="F478" s="35">
        <v>1440</v>
      </c>
      <c r="G478" s="34">
        <v>331.15</v>
      </c>
      <c r="H478" s="34">
        <v>370</v>
      </c>
      <c r="I478" s="34">
        <v>2578.15</v>
      </c>
      <c r="J478" s="34">
        <v>400.05</v>
      </c>
      <c r="K478" s="34">
        <v>2978.2</v>
      </c>
      <c r="L478" s="33" t="s">
        <v>14</v>
      </c>
      <c r="M478" s="34">
        <f t="shared" si="53"/>
        <v>50.551960784313728</v>
      </c>
      <c r="N478" s="27">
        <v>51</v>
      </c>
      <c r="O478" s="34">
        <v>0</v>
      </c>
      <c r="P478" s="35">
        <f t="shared" si="55"/>
        <v>0</v>
      </c>
      <c r="Q478" s="40">
        <f t="shared" ref="Q478:Q479" si="62">O478*2</f>
        <v>0</v>
      </c>
      <c r="R478" s="35"/>
    </row>
    <row r="479" spans="1:18" x14ac:dyDescent="0.3">
      <c r="A479" s="32">
        <v>43651</v>
      </c>
      <c r="B479" s="33" t="s">
        <v>117</v>
      </c>
      <c r="C479" s="34">
        <v>1765</v>
      </c>
      <c r="D479" s="33">
        <v>80</v>
      </c>
      <c r="E479" s="35">
        <v>555.16999999999996</v>
      </c>
      <c r="F479" s="35">
        <v>1440</v>
      </c>
      <c r="G479" s="34">
        <v>200.17</v>
      </c>
      <c r="H479" s="34">
        <v>30</v>
      </c>
      <c r="I479" s="34">
        <v>1995.17</v>
      </c>
      <c r="J479" s="34">
        <v>345.89</v>
      </c>
      <c r="K479" s="34">
        <v>2341.06</v>
      </c>
      <c r="L479" s="33" t="s">
        <v>14</v>
      </c>
      <c r="M479" s="34">
        <f t="shared" si="53"/>
        <v>23.335321637426901</v>
      </c>
      <c r="N479" s="27">
        <v>85.5</v>
      </c>
      <c r="O479" s="34">
        <f t="shared" si="57"/>
        <v>64.172134502923981</v>
      </c>
      <c r="P479" s="35">
        <f t="shared" si="55"/>
        <v>15.4</v>
      </c>
      <c r="Q479" s="40">
        <f t="shared" si="62"/>
        <v>128.34426900584796</v>
      </c>
      <c r="R479" s="35"/>
    </row>
    <row r="480" spans="1:18" hidden="1" x14ac:dyDescent="0.3">
      <c r="A480" s="37" t="s">
        <v>77</v>
      </c>
      <c r="B480" s="33" t="s">
        <v>118</v>
      </c>
      <c r="C480" s="34">
        <v>2929</v>
      </c>
      <c r="D480" s="33">
        <v>80</v>
      </c>
      <c r="E480" s="33"/>
      <c r="F480" s="33"/>
      <c r="G480" s="34">
        <v>288.64</v>
      </c>
      <c r="H480" s="34">
        <v>0</v>
      </c>
      <c r="I480" s="34">
        <v>3217.64</v>
      </c>
      <c r="J480" s="34">
        <v>484.24</v>
      </c>
      <c r="K480" s="34">
        <v>3701.88</v>
      </c>
      <c r="L480" s="33" t="s">
        <v>14</v>
      </c>
      <c r="M480" s="34" t="e">
        <f t="shared" si="53"/>
        <v>#DIV/0!</v>
      </c>
      <c r="N480" s="27">
        <v>0</v>
      </c>
      <c r="O480" s="34" t="e">
        <f t="shared" si="57"/>
        <v>#DIV/0!</v>
      </c>
      <c r="P480" s="35" t="e">
        <f t="shared" si="55"/>
        <v>#VALUE!</v>
      </c>
      <c r="Q480" s="34" t="e">
        <f t="shared" si="58"/>
        <v>#DIV/0!</v>
      </c>
      <c r="R480" s="35">
        <v>409.55</v>
      </c>
    </row>
    <row r="481" spans="1:18" hidden="1" x14ac:dyDescent="0.3">
      <c r="A481" s="37" t="s">
        <v>77</v>
      </c>
      <c r="B481" s="33" t="s">
        <v>118</v>
      </c>
      <c r="C481" s="34">
        <v>1890</v>
      </c>
      <c r="D481" s="33">
        <v>70</v>
      </c>
      <c r="E481" s="33"/>
      <c r="F481" s="33"/>
      <c r="G481" s="34">
        <v>423.91</v>
      </c>
      <c r="H481" s="34">
        <v>0</v>
      </c>
      <c r="I481" s="34">
        <v>2313.91</v>
      </c>
      <c r="J481" s="34">
        <v>373.24</v>
      </c>
      <c r="K481" s="34">
        <v>2687.15</v>
      </c>
      <c r="L481" s="33" t="s">
        <v>14</v>
      </c>
      <c r="M481" s="34" t="e">
        <f t="shared" si="53"/>
        <v>#DIV/0!</v>
      </c>
      <c r="N481" s="27"/>
      <c r="O481" s="34" t="e">
        <f t="shared" si="57"/>
        <v>#DIV/0!</v>
      </c>
      <c r="P481" s="35" t="e">
        <f t="shared" si="55"/>
        <v>#VALUE!</v>
      </c>
      <c r="Q481" s="34" t="e">
        <f t="shared" si="58"/>
        <v>#DIV/0!</v>
      </c>
      <c r="R481" s="35"/>
    </row>
    <row r="482" spans="1:18" hidden="1" x14ac:dyDescent="0.3">
      <c r="A482" s="37" t="s">
        <v>77</v>
      </c>
      <c r="B482" s="33" t="s">
        <v>118</v>
      </c>
      <c r="C482" s="34">
        <v>3051</v>
      </c>
      <c r="D482" s="33">
        <v>80</v>
      </c>
      <c r="E482" s="33"/>
      <c r="F482" s="33"/>
      <c r="G482" s="34">
        <v>763.37</v>
      </c>
      <c r="H482" s="34">
        <v>0</v>
      </c>
      <c r="I482" s="34">
        <v>3814.37</v>
      </c>
      <c r="J482" s="34">
        <v>530.19000000000005</v>
      </c>
      <c r="K482" s="34">
        <v>4344.5600000000004</v>
      </c>
      <c r="L482" s="33" t="s">
        <v>14</v>
      </c>
      <c r="M482" s="34" t="e">
        <f t="shared" si="53"/>
        <v>#DIV/0!</v>
      </c>
      <c r="N482" s="27"/>
      <c r="O482" s="34" t="e">
        <f t="shared" si="57"/>
        <v>#DIV/0!</v>
      </c>
      <c r="P482" s="35" t="e">
        <f t="shared" si="55"/>
        <v>#VALUE!</v>
      </c>
      <c r="Q482" s="34" t="e">
        <f t="shared" si="58"/>
        <v>#DIV/0!</v>
      </c>
      <c r="R482" s="35"/>
    </row>
    <row r="483" spans="1:18" hidden="1" x14ac:dyDescent="0.3">
      <c r="A483" s="37" t="s">
        <v>77</v>
      </c>
      <c r="B483" s="33" t="s">
        <v>118</v>
      </c>
      <c r="C483" s="34">
        <v>2242</v>
      </c>
      <c r="D483" s="33">
        <v>47</v>
      </c>
      <c r="E483" s="33"/>
      <c r="F483" s="33"/>
      <c r="G483" s="34">
        <v>501.65</v>
      </c>
      <c r="H483" s="34">
        <v>0</v>
      </c>
      <c r="I483" s="34">
        <v>2743.65</v>
      </c>
      <c r="J483" s="34">
        <v>370.32</v>
      </c>
      <c r="K483" s="34">
        <v>3113.97</v>
      </c>
      <c r="L483" s="33" t="s">
        <v>14</v>
      </c>
      <c r="M483" s="34" t="e">
        <f t="shared" si="53"/>
        <v>#DIV/0!</v>
      </c>
      <c r="N483" s="27"/>
      <c r="O483" s="34" t="e">
        <f t="shared" si="57"/>
        <v>#DIV/0!</v>
      </c>
      <c r="P483" s="35" t="e">
        <f t="shared" si="55"/>
        <v>#VALUE!</v>
      </c>
      <c r="Q483" s="34" t="e">
        <f t="shared" si="58"/>
        <v>#DIV/0!</v>
      </c>
      <c r="R483" s="35"/>
    </row>
    <row r="484" spans="1:18" hidden="1" x14ac:dyDescent="0.3">
      <c r="A484" s="37" t="s">
        <v>77</v>
      </c>
      <c r="B484" s="33" t="s">
        <v>118</v>
      </c>
      <c r="C484" s="34">
        <v>2095</v>
      </c>
      <c r="D484" s="33">
        <v>80</v>
      </c>
      <c r="E484" s="33"/>
      <c r="F484" s="33"/>
      <c r="G484" s="34">
        <v>268.82</v>
      </c>
      <c r="H484" s="34">
        <v>500</v>
      </c>
      <c r="I484" s="34">
        <v>2863.82</v>
      </c>
      <c r="J484" s="34">
        <v>448.63</v>
      </c>
      <c r="K484" s="34">
        <v>3312.45</v>
      </c>
      <c r="L484" s="33">
        <v>100135</v>
      </c>
      <c r="M484" s="34" t="e">
        <f t="shared" si="53"/>
        <v>#DIV/0!</v>
      </c>
      <c r="N484" s="27"/>
      <c r="O484" s="34" t="e">
        <f t="shared" si="57"/>
        <v>#DIV/0!</v>
      </c>
      <c r="P484" s="35" t="e">
        <f t="shared" si="55"/>
        <v>#VALUE!</v>
      </c>
      <c r="Q484" s="34" t="e">
        <f t="shared" si="58"/>
        <v>#DIV/0!</v>
      </c>
      <c r="R484" s="35"/>
    </row>
    <row r="485" spans="1:18" hidden="1" x14ac:dyDescent="0.3">
      <c r="A485" s="37" t="s">
        <v>77</v>
      </c>
      <c r="B485" s="33" t="s">
        <v>118</v>
      </c>
      <c r="C485" s="34">
        <v>2980</v>
      </c>
      <c r="D485" s="33">
        <v>80</v>
      </c>
      <c r="E485" s="33"/>
      <c r="F485" s="33"/>
      <c r="G485" s="34">
        <v>948.28</v>
      </c>
      <c r="H485" s="34">
        <v>500</v>
      </c>
      <c r="I485" s="34">
        <v>4428.28</v>
      </c>
      <c r="J485" s="34">
        <v>587.83000000000004</v>
      </c>
      <c r="K485" s="34">
        <v>5016.1099999999997</v>
      </c>
      <c r="L485" s="33">
        <v>100143</v>
      </c>
      <c r="M485" s="34" t="e">
        <f t="shared" si="53"/>
        <v>#DIV/0!</v>
      </c>
      <c r="N485" s="27"/>
      <c r="O485" s="34" t="e">
        <f t="shared" si="57"/>
        <v>#DIV/0!</v>
      </c>
      <c r="P485" s="35" t="e">
        <f t="shared" si="55"/>
        <v>#VALUE!</v>
      </c>
      <c r="Q485" s="34" t="e">
        <f t="shared" si="58"/>
        <v>#DIV/0!</v>
      </c>
      <c r="R485" s="35"/>
    </row>
    <row r="486" spans="1:18" hidden="1" x14ac:dyDescent="0.3">
      <c r="A486" s="37" t="s">
        <v>77</v>
      </c>
      <c r="B486" s="33" t="s">
        <v>118</v>
      </c>
      <c r="C486" s="34">
        <v>2943</v>
      </c>
      <c r="D486" s="33">
        <v>80</v>
      </c>
      <c r="E486" s="33"/>
      <c r="F486" s="33"/>
      <c r="G486" s="34">
        <v>298.68</v>
      </c>
      <c r="H486" s="34">
        <v>0</v>
      </c>
      <c r="I486" s="34">
        <v>3241.68</v>
      </c>
      <c r="J486" s="34">
        <v>467.2</v>
      </c>
      <c r="K486" s="34">
        <v>3708.88</v>
      </c>
      <c r="L486" s="33" t="s">
        <v>14</v>
      </c>
      <c r="M486" s="34" t="e">
        <f t="shared" si="53"/>
        <v>#DIV/0!</v>
      </c>
      <c r="N486" s="27"/>
      <c r="O486" s="34" t="e">
        <f t="shared" si="57"/>
        <v>#DIV/0!</v>
      </c>
      <c r="P486" s="35" t="e">
        <f t="shared" si="55"/>
        <v>#VALUE!</v>
      </c>
      <c r="Q486" s="34" t="e">
        <f t="shared" si="58"/>
        <v>#DIV/0!</v>
      </c>
      <c r="R486" s="35"/>
    </row>
    <row r="487" spans="1:18" hidden="1" x14ac:dyDescent="0.3">
      <c r="A487" s="37" t="s">
        <v>77</v>
      </c>
      <c r="B487" s="33" t="s">
        <v>118</v>
      </c>
      <c r="C487" s="34">
        <v>3088</v>
      </c>
      <c r="D487" s="33">
        <v>80</v>
      </c>
      <c r="E487" s="33"/>
      <c r="F487" s="33"/>
      <c r="G487" s="34">
        <v>354.04</v>
      </c>
      <c r="H487" s="34">
        <v>500</v>
      </c>
      <c r="I487" s="34">
        <v>3942.04</v>
      </c>
      <c r="J487" s="34">
        <v>533.46</v>
      </c>
      <c r="K487" s="34">
        <v>4475.5</v>
      </c>
      <c r="L487" s="33">
        <v>100163</v>
      </c>
      <c r="M487" s="34" t="e">
        <f t="shared" si="53"/>
        <v>#DIV/0!</v>
      </c>
      <c r="N487" s="27"/>
      <c r="O487" s="34" t="e">
        <f t="shared" si="57"/>
        <v>#DIV/0!</v>
      </c>
      <c r="P487" s="35" t="e">
        <f t="shared" si="55"/>
        <v>#VALUE!</v>
      </c>
      <c r="Q487" s="34" t="e">
        <f t="shared" si="58"/>
        <v>#DIV/0!</v>
      </c>
      <c r="R487" s="35"/>
    </row>
    <row r="488" spans="1:18" hidden="1" x14ac:dyDescent="0.3">
      <c r="A488" s="37" t="s">
        <v>77</v>
      </c>
      <c r="B488" s="33" t="s">
        <v>118</v>
      </c>
      <c r="C488" s="34">
        <v>3074</v>
      </c>
      <c r="D488" s="33">
        <v>80</v>
      </c>
      <c r="E488" s="33"/>
      <c r="F488" s="33"/>
      <c r="G488" s="34">
        <v>775.06</v>
      </c>
      <c r="H488" s="34">
        <v>0</v>
      </c>
      <c r="I488" s="34">
        <v>3849.06</v>
      </c>
      <c r="J488" s="34">
        <v>524.66</v>
      </c>
      <c r="K488" s="34">
        <v>4373.72</v>
      </c>
      <c r="L488" s="33" t="s">
        <v>14</v>
      </c>
      <c r="M488" s="34" t="e">
        <f t="shared" si="53"/>
        <v>#DIV/0!</v>
      </c>
      <c r="N488" s="27"/>
      <c r="O488" s="34" t="e">
        <f t="shared" si="57"/>
        <v>#DIV/0!</v>
      </c>
      <c r="P488" s="35" t="e">
        <f t="shared" si="55"/>
        <v>#VALUE!</v>
      </c>
      <c r="Q488" s="34" t="e">
        <f t="shared" si="58"/>
        <v>#DIV/0!</v>
      </c>
      <c r="R488" s="35"/>
    </row>
    <row r="489" spans="1:18" hidden="1" x14ac:dyDescent="0.3">
      <c r="A489" s="37" t="s">
        <v>77</v>
      </c>
      <c r="B489" s="33" t="s">
        <v>118</v>
      </c>
      <c r="C489" s="34">
        <v>3080</v>
      </c>
      <c r="D489" s="33">
        <v>80</v>
      </c>
      <c r="E489" s="33"/>
      <c r="F489" s="33"/>
      <c r="G489" s="34">
        <v>777.63</v>
      </c>
      <c r="H489" s="34">
        <v>0</v>
      </c>
      <c r="I489" s="34">
        <v>3857.63</v>
      </c>
      <c r="J489" s="34">
        <v>525.47</v>
      </c>
      <c r="K489" s="34">
        <v>4383.1000000000004</v>
      </c>
      <c r="L489" s="33" t="s">
        <v>14</v>
      </c>
      <c r="M489" s="34" t="e">
        <f t="shared" si="53"/>
        <v>#DIV/0!</v>
      </c>
      <c r="N489" s="27"/>
      <c r="O489" s="34" t="e">
        <f t="shared" si="57"/>
        <v>#DIV/0!</v>
      </c>
      <c r="P489" s="35" t="e">
        <f t="shared" ref="P489:P551" si="63">ROUND(((ROUNDDOWN(($W$1-A489)/30,0))/100)*O489,2)</f>
        <v>#VALUE!</v>
      </c>
      <c r="Q489" s="34" t="e">
        <f t="shared" si="58"/>
        <v>#DIV/0!</v>
      </c>
      <c r="R489" s="35"/>
    </row>
    <row r="490" spans="1:18" hidden="1" x14ac:dyDescent="0.3">
      <c r="A490" s="37" t="s">
        <v>77</v>
      </c>
      <c r="B490" s="33" t="s">
        <v>118</v>
      </c>
      <c r="C490" s="34">
        <v>3088</v>
      </c>
      <c r="D490" s="33">
        <v>80</v>
      </c>
      <c r="E490" s="33"/>
      <c r="F490" s="33"/>
      <c r="G490" s="34">
        <v>781.03</v>
      </c>
      <c r="H490" s="34">
        <v>0</v>
      </c>
      <c r="I490" s="34">
        <v>3869.03</v>
      </c>
      <c r="J490" s="34">
        <v>526.54999999999995</v>
      </c>
      <c r="K490" s="34">
        <v>4395.58</v>
      </c>
      <c r="L490" s="33" t="s">
        <v>14</v>
      </c>
      <c r="M490" s="34" t="e">
        <f t="shared" si="53"/>
        <v>#DIV/0!</v>
      </c>
      <c r="N490" s="27"/>
      <c r="O490" s="34" t="e">
        <f t="shared" si="57"/>
        <v>#DIV/0!</v>
      </c>
      <c r="P490" s="35" t="e">
        <f t="shared" si="63"/>
        <v>#VALUE!</v>
      </c>
      <c r="Q490" s="34" t="e">
        <f t="shared" si="58"/>
        <v>#DIV/0!</v>
      </c>
      <c r="R490" s="35"/>
    </row>
    <row r="491" spans="1:18" hidden="1" x14ac:dyDescent="0.3">
      <c r="A491" s="37" t="s">
        <v>77</v>
      </c>
      <c r="B491" s="33" t="s">
        <v>118</v>
      </c>
      <c r="C491" s="34">
        <v>2184</v>
      </c>
      <c r="D491" s="33">
        <v>80</v>
      </c>
      <c r="E491" s="33"/>
      <c r="F491" s="33"/>
      <c r="G491" s="34">
        <v>618.45000000000005</v>
      </c>
      <c r="H491" s="34">
        <v>440</v>
      </c>
      <c r="I491" s="34">
        <v>3242.45</v>
      </c>
      <c r="J491" s="34">
        <v>461.77</v>
      </c>
      <c r="K491" s="34">
        <v>3704.22</v>
      </c>
      <c r="L491" s="33" t="s">
        <v>14</v>
      </c>
      <c r="M491" s="34" t="e">
        <f t="shared" si="53"/>
        <v>#DIV/0!</v>
      </c>
      <c r="N491" s="27"/>
      <c r="O491" s="34" t="e">
        <f t="shared" si="57"/>
        <v>#DIV/0!</v>
      </c>
      <c r="P491" s="35" t="e">
        <f t="shared" si="63"/>
        <v>#VALUE!</v>
      </c>
      <c r="Q491" s="34" t="e">
        <f t="shared" si="58"/>
        <v>#DIV/0!</v>
      </c>
      <c r="R491" s="35"/>
    </row>
    <row r="492" spans="1:18" hidden="1" x14ac:dyDescent="0.3">
      <c r="A492" s="37" t="s">
        <v>77</v>
      </c>
      <c r="B492" s="33" t="s">
        <v>118</v>
      </c>
      <c r="C492" s="34">
        <v>2508</v>
      </c>
      <c r="D492" s="33">
        <v>80</v>
      </c>
      <c r="E492" s="33"/>
      <c r="F492" s="33"/>
      <c r="G492" s="34">
        <v>589.63</v>
      </c>
      <c r="H492" s="34">
        <v>0</v>
      </c>
      <c r="I492" s="34">
        <v>3097.63</v>
      </c>
      <c r="J492" s="34">
        <v>448.31</v>
      </c>
      <c r="K492" s="34">
        <v>3545.94</v>
      </c>
      <c r="L492" s="33" t="s">
        <v>14</v>
      </c>
      <c r="M492" s="34" t="e">
        <f t="shared" si="53"/>
        <v>#DIV/0!</v>
      </c>
      <c r="N492" s="27"/>
      <c r="O492" s="34" t="e">
        <f t="shared" si="57"/>
        <v>#DIV/0!</v>
      </c>
      <c r="P492" s="35" t="e">
        <f t="shared" si="63"/>
        <v>#VALUE!</v>
      </c>
      <c r="Q492" s="34" t="e">
        <f t="shared" si="58"/>
        <v>#DIV/0!</v>
      </c>
      <c r="R492" s="35"/>
    </row>
    <row r="493" spans="1:18" hidden="1" x14ac:dyDescent="0.3">
      <c r="A493" s="37" t="s">
        <v>77</v>
      </c>
      <c r="B493" s="33" t="s">
        <v>118</v>
      </c>
      <c r="C493" s="34">
        <v>2054</v>
      </c>
      <c r="D493" s="33">
        <v>80</v>
      </c>
      <c r="E493" s="33"/>
      <c r="F493" s="33"/>
      <c r="G493" s="34">
        <v>586.14</v>
      </c>
      <c r="H493" s="34">
        <v>440</v>
      </c>
      <c r="I493" s="34">
        <v>3080.14</v>
      </c>
      <c r="J493" s="34">
        <v>446.69</v>
      </c>
      <c r="K493" s="34">
        <v>3526.83</v>
      </c>
      <c r="L493" s="33" t="s">
        <v>14</v>
      </c>
      <c r="M493" s="34" t="e">
        <f t="shared" si="53"/>
        <v>#DIV/0!</v>
      </c>
      <c r="N493" s="27"/>
      <c r="O493" s="34" t="e">
        <f t="shared" si="57"/>
        <v>#DIV/0!</v>
      </c>
      <c r="P493" s="35" t="e">
        <f t="shared" si="63"/>
        <v>#VALUE!</v>
      </c>
      <c r="Q493" s="34" t="e">
        <f t="shared" si="58"/>
        <v>#DIV/0!</v>
      </c>
      <c r="R493" s="35"/>
    </row>
    <row r="494" spans="1:18" hidden="1" x14ac:dyDescent="0.3">
      <c r="A494" s="37" t="s">
        <v>77</v>
      </c>
      <c r="B494" s="33" t="s">
        <v>118</v>
      </c>
      <c r="C494" s="34">
        <v>2581</v>
      </c>
      <c r="D494" s="33">
        <v>80</v>
      </c>
      <c r="E494" s="33"/>
      <c r="F494" s="33"/>
      <c r="G494" s="34">
        <v>607.77</v>
      </c>
      <c r="H494" s="34">
        <v>0</v>
      </c>
      <c r="I494" s="34">
        <v>3188.77</v>
      </c>
      <c r="J494" s="34">
        <v>456.77</v>
      </c>
      <c r="K494" s="34">
        <v>3645.54</v>
      </c>
      <c r="L494" s="33" t="s">
        <v>14</v>
      </c>
      <c r="M494" s="34" t="e">
        <f t="shared" ref="M494:M556" si="64">(E494+F494)/N494</f>
        <v>#DIV/0!</v>
      </c>
      <c r="N494" s="27"/>
      <c r="O494" s="34" t="e">
        <f t="shared" si="57"/>
        <v>#DIV/0!</v>
      </c>
      <c r="P494" s="35" t="e">
        <f t="shared" si="63"/>
        <v>#VALUE!</v>
      </c>
      <c r="Q494" s="34" t="e">
        <f t="shared" si="58"/>
        <v>#DIV/0!</v>
      </c>
      <c r="R494" s="35"/>
    </row>
    <row r="495" spans="1:18" hidden="1" x14ac:dyDescent="0.3">
      <c r="A495" s="37" t="s">
        <v>77</v>
      </c>
      <c r="B495" s="33" t="s">
        <v>118</v>
      </c>
      <c r="C495" s="34">
        <v>3411</v>
      </c>
      <c r="D495" s="33">
        <v>80</v>
      </c>
      <c r="E495" s="33"/>
      <c r="F495" s="33"/>
      <c r="G495" s="34">
        <v>734.69</v>
      </c>
      <c r="H495" s="34">
        <v>460</v>
      </c>
      <c r="I495" s="34">
        <v>4605.6899999999996</v>
      </c>
      <c r="J495" s="34">
        <v>588.41</v>
      </c>
      <c r="K495" s="34">
        <v>5194.1000000000004</v>
      </c>
      <c r="L495" s="33" t="s">
        <v>14</v>
      </c>
      <c r="M495" s="34" t="e">
        <f t="shared" si="64"/>
        <v>#DIV/0!</v>
      </c>
      <c r="N495" s="27"/>
      <c r="O495" s="34" t="e">
        <f t="shared" si="57"/>
        <v>#DIV/0!</v>
      </c>
      <c r="P495" s="35" t="e">
        <f t="shared" si="63"/>
        <v>#VALUE!</v>
      </c>
      <c r="Q495" s="34" t="e">
        <f t="shared" si="58"/>
        <v>#DIV/0!</v>
      </c>
      <c r="R495" s="35"/>
    </row>
    <row r="496" spans="1:18" hidden="1" x14ac:dyDescent="0.3">
      <c r="A496" s="37" t="s">
        <v>77</v>
      </c>
      <c r="B496" s="33" t="s">
        <v>118</v>
      </c>
      <c r="C496" s="34">
        <v>2116</v>
      </c>
      <c r="D496" s="33">
        <v>74</v>
      </c>
      <c r="E496" s="33"/>
      <c r="F496" s="33"/>
      <c r="G496" s="34">
        <v>226.84</v>
      </c>
      <c r="H496" s="34">
        <v>30</v>
      </c>
      <c r="I496" s="34">
        <v>2372.84</v>
      </c>
      <c r="J496" s="34">
        <v>368.94</v>
      </c>
      <c r="K496" s="34">
        <v>2741.78</v>
      </c>
      <c r="L496" s="33" t="s">
        <v>14</v>
      </c>
      <c r="M496" s="34" t="e">
        <f t="shared" si="64"/>
        <v>#DIV/0!</v>
      </c>
      <c r="N496" s="27"/>
      <c r="O496" s="34" t="e">
        <f t="shared" si="57"/>
        <v>#DIV/0!</v>
      </c>
      <c r="P496" s="35" t="e">
        <f t="shared" si="63"/>
        <v>#VALUE!</v>
      </c>
      <c r="Q496" s="34" t="e">
        <f t="shared" si="58"/>
        <v>#DIV/0!</v>
      </c>
      <c r="R496" s="35"/>
    </row>
    <row r="497" spans="1:18" hidden="1" x14ac:dyDescent="0.3">
      <c r="A497" s="37" t="s">
        <v>77</v>
      </c>
      <c r="B497" s="33" t="s">
        <v>118</v>
      </c>
      <c r="C497" s="34">
        <v>1921</v>
      </c>
      <c r="D497" s="33">
        <v>68</v>
      </c>
      <c r="E497" s="33"/>
      <c r="F497" s="33"/>
      <c r="G497" s="34">
        <v>264.38</v>
      </c>
      <c r="H497" s="34">
        <v>65</v>
      </c>
      <c r="I497" s="34">
        <v>2250.38</v>
      </c>
      <c r="J497" s="34">
        <v>331.85</v>
      </c>
      <c r="K497" s="34">
        <v>2582.23</v>
      </c>
      <c r="L497" s="33" t="s">
        <v>14</v>
      </c>
      <c r="M497" s="34" t="e">
        <f t="shared" si="64"/>
        <v>#DIV/0!</v>
      </c>
      <c r="N497" s="27"/>
      <c r="O497" s="34" t="e">
        <f t="shared" si="57"/>
        <v>#DIV/0!</v>
      </c>
      <c r="P497" s="35" t="e">
        <f t="shared" si="63"/>
        <v>#VALUE!</v>
      </c>
      <c r="Q497" s="34" t="e">
        <f t="shared" si="58"/>
        <v>#DIV/0!</v>
      </c>
      <c r="R497" s="35"/>
    </row>
    <row r="498" spans="1:18" hidden="1" x14ac:dyDescent="0.3">
      <c r="A498" s="37" t="s">
        <v>77</v>
      </c>
      <c r="B498" s="33" t="s">
        <v>118</v>
      </c>
      <c r="C498" s="34">
        <v>2584</v>
      </c>
      <c r="D498" s="33">
        <v>80</v>
      </c>
      <c r="E498" s="33"/>
      <c r="F498" s="33"/>
      <c r="G498" s="34">
        <v>536.64</v>
      </c>
      <c r="H498" s="34">
        <v>489.92</v>
      </c>
      <c r="I498" s="34">
        <v>3610.56</v>
      </c>
      <c r="J498" s="34">
        <v>436.75</v>
      </c>
      <c r="K498" s="34">
        <v>4047.31</v>
      </c>
      <c r="L498" s="33" t="s">
        <v>14</v>
      </c>
      <c r="M498" s="34" t="e">
        <f t="shared" si="64"/>
        <v>#DIV/0!</v>
      </c>
      <c r="N498" s="27"/>
      <c r="O498" s="34" t="e">
        <f t="shared" si="57"/>
        <v>#DIV/0!</v>
      </c>
      <c r="P498" s="35" t="e">
        <f t="shared" si="63"/>
        <v>#VALUE!</v>
      </c>
      <c r="Q498" s="34" t="e">
        <f t="shared" si="58"/>
        <v>#DIV/0!</v>
      </c>
      <c r="R498" s="35"/>
    </row>
    <row r="499" spans="1:18" hidden="1" x14ac:dyDescent="0.3">
      <c r="A499" s="37" t="s">
        <v>77</v>
      </c>
      <c r="B499" s="33" t="s">
        <v>118</v>
      </c>
      <c r="C499" s="34">
        <v>2748</v>
      </c>
      <c r="D499" s="33">
        <v>80</v>
      </c>
      <c r="E499" s="33"/>
      <c r="F499" s="33"/>
      <c r="G499" s="34">
        <v>468.07</v>
      </c>
      <c r="H499" s="34">
        <v>50</v>
      </c>
      <c r="I499" s="34">
        <v>3266.07</v>
      </c>
      <c r="J499" s="34">
        <v>410.39</v>
      </c>
      <c r="K499" s="34">
        <v>3676.46</v>
      </c>
      <c r="L499" s="33" t="s">
        <v>14</v>
      </c>
      <c r="M499" s="34" t="e">
        <f t="shared" si="64"/>
        <v>#DIV/0!</v>
      </c>
      <c r="N499" s="27"/>
      <c r="O499" s="34" t="e">
        <f t="shared" si="57"/>
        <v>#DIV/0!</v>
      </c>
      <c r="P499" s="35" t="e">
        <f t="shared" si="63"/>
        <v>#VALUE!</v>
      </c>
      <c r="Q499" s="34" t="e">
        <f t="shared" si="58"/>
        <v>#DIV/0!</v>
      </c>
      <c r="R499" s="35"/>
    </row>
    <row r="500" spans="1:18" hidden="1" x14ac:dyDescent="0.3">
      <c r="A500" s="37" t="s">
        <v>77</v>
      </c>
      <c r="B500" s="33" t="s">
        <v>118</v>
      </c>
      <c r="C500" s="34">
        <v>2961</v>
      </c>
      <c r="D500" s="33">
        <v>80</v>
      </c>
      <c r="E500" s="33"/>
      <c r="F500" s="33"/>
      <c r="G500" s="34">
        <v>630.35</v>
      </c>
      <c r="H500" s="34">
        <v>490</v>
      </c>
      <c r="I500" s="34">
        <v>4081.35</v>
      </c>
      <c r="J500" s="34">
        <v>472.77</v>
      </c>
      <c r="K500" s="34">
        <v>4554.12</v>
      </c>
      <c r="L500" s="33" t="s">
        <v>14</v>
      </c>
      <c r="M500" s="34" t="e">
        <f t="shared" si="64"/>
        <v>#DIV/0!</v>
      </c>
      <c r="N500" s="27"/>
      <c r="O500" s="34" t="e">
        <f t="shared" si="57"/>
        <v>#DIV/0!</v>
      </c>
      <c r="P500" s="35" t="e">
        <f t="shared" si="63"/>
        <v>#VALUE!</v>
      </c>
      <c r="Q500" s="34" t="e">
        <f t="shared" si="58"/>
        <v>#DIV/0!</v>
      </c>
      <c r="R500" s="35"/>
    </row>
    <row r="501" spans="1:18" hidden="1" x14ac:dyDescent="0.3">
      <c r="A501" s="37" t="s">
        <v>77</v>
      </c>
      <c r="B501" s="33" t="s">
        <v>118</v>
      </c>
      <c r="C501" s="34">
        <v>2726</v>
      </c>
      <c r="D501" s="33">
        <v>80</v>
      </c>
      <c r="E501" s="33"/>
      <c r="F501" s="33"/>
      <c r="G501" s="34">
        <v>450.19</v>
      </c>
      <c r="H501" s="34">
        <v>0</v>
      </c>
      <c r="I501" s="34">
        <v>3176.19</v>
      </c>
      <c r="J501" s="34">
        <v>403.52</v>
      </c>
      <c r="K501" s="34">
        <v>3579.71</v>
      </c>
      <c r="L501" s="33" t="s">
        <v>14</v>
      </c>
      <c r="M501" s="34" t="e">
        <f t="shared" si="64"/>
        <v>#DIV/0!</v>
      </c>
      <c r="N501" s="27"/>
      <c r="O501" s="34" t="e">
        <f t="shared" si="57"/>
        <v>#DIV/0!</v>
      </c>
      <c r="P501" s="35" t="e">
        <f t="shared" si="63"/>
        <v>#VALUE!</v>
      </c>
      <c r="Q501" s="34" t="e">
        <f t="shared" si="58"/>
        <v>#DIV/0!</v>
      </c>
      <c r="R501" s="35"/>
    </row>
    <row r="502" spans="1:18" hidden="1" x14ac:dyDescent="0.3">
      <c r="A502" s="37" t="s">
        <v>77</v>
      </c>
      <c r="B502" s="33" t="s">
        <v>118</v>
      </c>
      <c r="C502" s="34">
        <v>2982</v>
      </c>
      <c r="D502" s="33">
        <v>80</v>
      </c>
      <c r="E502" s="33"/>
      <c r="F502" s="33"/>
      <c r="G502" s="34">
        <v>623.12</v>
      </c>
      <c r="H502" s="34">
        <v>440</v>
      </c>
      <c r="I502" s="34">
        <v>4045.12</v>
      </c>
      <c r="J502" s="34">
        <v>469.99</v>
      </c>
      <c r="K502" s="34">
        <v>4515.1099999999997</v>
      </c>
      <c r="L502" s="33" t="s">
        <v>14</v>
      </c>
      <c r="M502" s="34" t="e">
        <f t="shared" si="64"/>
        <v>#DIV/0!</v>
      </c>
      <c r="N502" s="27"/>
      <c r="O502" s="34" t="e">
        <f t="shared" si="57"/>
        <v>#DIV/0!</v>
      </c>
      <c r="P502" s="35" t="e">
        <f t="shared" si="63"/>
        <v>#VALUE!</v>
      </c>
      <c r="Q502" s="34" t="e">
        <f t="shared" si="58"/>
        <v>#DIV/0!</v>
      </c>
      <c r="R502" s="35"/>
    </row>
    <row r="503" spans="1:18" x14ac:dyDescent="0.3">
      <c r="A503" s="29">
        <v>43749</v>
      </c>
      <c r="B503" s="30" t="s">
        <v>118</v>
      </c>
      <c r="C503" s="34">
        <v>3409</v>
      </c>
      <c r="D503" s="30">
        <v>80</v>
      </c>
      <c r="E503" s="35">
        <v>644.75</v>
      </c>
      <c r="F503" s="35">
        <v>3509</v>
      </c>
      <c r="G503" s="34">
        <v>644.75</v>
      </c>
      <c r="H503" s="34">
        <v>100</v>
      </c>
      <c r="I503" s="34">
        <v>4153.75</v>
      </c>
      <c r="J503" s="34">
        <v>478.3</v>
      </c>
      <c r="K503" s="34">
        <v>4632.05</v>
      </c>
      <c r="L503" s="33" t="s">
        <v>14</v>
      </c>
      <c r="M503" s="38">
        <v>26.26</v>
      </c>
      <c r="N503" s="27">
        <v>121</v>
      </c>
      <c r="O503" s="34">
        <f t="shared" si="57"/>
        <v>538.33000000000004</v>
      </c>
      <c r="P503" s="35">
        <f t="shared" si="63"/>
        <v>107.67</v>
      </c>
      <c r="Q503" s="40">
        <f>O503*2</f>
        <v>1076.6600000000001</v>
      </c>
      <c r="R503" s="35">
        <v>556.29999999999995</v>
      </c>
    </row>
    <row r="504" spans="1:18" hidden="1" x14ac:dyDescent="0.3">
      <c r="A504" s="37" t="s">
        <v>77</v>
      </c>
      <c r="B504" s="33" t="s">
        <v>118</v>
      </c>
      <c r="C504" s="34">
        <v>2715</v>
      </c>
      <c r="D504" s="33">
        <v>80</v>
      </c>
      <c r="E504" s="33"/>
      <c r="F504" s="33"/>
      <c r="G504" s="34">
        <v>457.4</v>
      </c>
      <c r="H504" s="34">
        <v>40</v>
      </c>
      <c r="I504" s="34">
        <v>3212.4</v>
      </c>
      <c r="J504" s="34">
        <v>406.29</v>
      </c>
      <c r="K504" s="34">
        <v>3618.69</v>
      </c>
      <c r="L504" s="33" t="s">
        <v>14</v>
      </c>
      <c r="M504" s="34" t="e">
        <f t="shared" si="64"/>
        <v>#DIV/0!</v>
      </c>
      <c r="N504" s="27"/>
      <c r="O504" s="34" t="e">
        <f t="shared" si="57"/>
        <v>#DIV/0!</v>
      </c>
      <c r="P504" s="35" t="e">
        <f t="shared" si="63"/>
        <v>#VALUE!</v>
      </c>
      <c r="Q504" s="34" t="e">
        <f t="shared" si="58"/>
        <v>#DIV/0!</v>
      </c>
      <c r="R504" s="35"/>
    </row>
    <row r="505" spans="1:18" hidden="1" x14ac:dyDescent="0.3">
      <c r="A505" s="37" t="s">
        <v>77</v>
      </c>
      <c r="B505" s="33" t="s">
        <v>118</v>
      </c>
      <c r="C505" s="34">
        <v>2262</v>
      </c>
      <c r="D505" s="33">
        <v>80</v>
      </c>
      <c r="E505" s="33"/>
      <c r="F505" s="33"/>
      <c r="G505" s="34">
        <v>334.87</v>
      </c>
      <c r="H505" s="34">
        <v>0</v>
      </c>
      <c r="I505" s="34">
        <v>2596.87</v>
      </c>
      <c r="J505" s="34">
        <v>359.19</v>
      </c>
      <c r="K505" s="34">
        <v>2956.06</v>
      </c>
      <c r="L505" s="33" t="s">
        <v>14</v>
      </c>
      <c r="M505" s="34" t="e">
        <f t="shared" si="64"/>
        <v>#DIV/0!</v>
      </c>
      <c r="N505" s="27"/>
      <c r="O505" s="34" t="e">
        <f t="shared" si="57"/>
        <v>#DIV/0!</v>
      </c>
      <c r="P505" s="35" t="e">
        <f t="shared" si="63"/>
        <v>#VALUE!</v>
      </c>
      <c r="Q505" s="34" t="e">
        <f t="shared" si="58"/>
        <v>#DIV/0!</v>
      </c>
      <c r="R505" s="35"/>
    </row>
    <row r="506" spans="1:18" hidden="1" x14ac:dyDescent="0.3">
      <c r="A506" s="37" t="s">
        <v>77</v>
      </c>
      <c r="B506" s="33" t="s">
        <v>118</v>
      </c>
      <c r="C506" s="34">
        <v>158</v>
      </c>
      <c r="D506" s="33">
        <v>0</v>
      </c>
      <c r="E506" s="33"/>
      <c r="F506" s="33"/>
      <c r="G506" s="34">
        <v>0</v>
      </c>
      <c r="H506" s="34">
        <v>0</v>
      </c>
      <c r="I506" s="34">
        <v>158</v>
      </c>
      <c r="J506" s="34">
        <v>0</v>
      </c>
      <c r="K506" s="34">
        <v>158</v>
      </c>
      <c r="L506" s="33" t="s">
        <v>14</v>
      </c>
      <c r="M506" s="34" t="e">
        <f t="shared" si="64"/>
        <v>#DIV/0!</v>
      </c>
      <c r="N506" s="27"/>
      <c r="O506" s="34" t="e">
        <f t="shared" si="57"/>
        <v>#DIV/0!</v>
      </c>
      <c r="P506" s="35" t="e">
        <f t="shared" si="63"/>
        <v>#VALUE!</v>
      </c>
      <c r="Q506" s="34" t="e">
        <f t="shared" si="58"/>
        <v>#DIV/0!</v>
      </c>
      <c r="R506" s="35"/>
    </row>
    <row r="507" spans="1:18" hidden="1" x14ac:dyDescent="0.3">
      <c r="A507" s="37" t="s">
        <v>77</v>
      </c>
      <c r="B507" s="33" t="s">
        <v>46</v>
      </c>
      <c r="C507" s="34">
        <v>575</v>
      </c>
      <c r="D507" s="36">
        <v>23</v>
      </c>
      <c r="E507" s="33"/>
      <c r="F507" s="33">
        <v>575</v>
      </c>
      <c r="G507" s="34">
        <v>55.12</v>
      </c>
      <c r="H507" s="34">
        <v>0</v>
      </c>
      <c r="I507" s="34">
        <v>630.12</v>
      </c>
      <c r="J507" s="34">
        <v>89.2</v>
      </c>
      <c r="K507" s="34">
        <v>719.32</v>
      </c>
      <c r="L507" s="33">
        <v>100199</v>
      </c>
      <c r="M507" s="34">
        <f t="shared" si="64"/>
        <v>25</v>
      </c>
      <c r="N507" s="27">
        <v>23</v>
      </c>
      <c r="O507" s="34">
        <v>0</v>
      </c>
      <c r="P507" s="35" t="e">
        <f t="shared" si="63"/>
        <v>#VALUE!</v>
      </c>
      <c r="Q507" s="34">
        <f t="shared" si="58"/>
        <v>0</v>
      </c>
      <c r="R507" s="35">
        <v>409.55</v>
      </c>
    </row>
    <row r="508" spans="1:18" hidden="1" x14ac:dyDescent="0.3">
      <c r="A508" s="37" t="s">
        <v>77</v>
      </c>
      <c r="B508" s="33" t="s">
        <v>46</v>
      </c>
      <c r="C508" s="34">
        <v>1977</v>
      </c>
      <c r="D508" s="36">
        <v>45.5</v>
      </c>
      <c r="E508" s="33"/>
      <c r="F508" s="33">
        <v>2112</v>
      </c>
      <c r="G508" s="34">
        <v>282.98</v>
      </c>
      <c r="H508" s="34">
        <v>135</v>
      </c>
      <c r="I508" s="34">
        <v>2394.98</v>
      </c>
      <c r="J508" s="34">
        <v>321.27999999999997</v>
      </c>
      <c r="K508" s="34">
        <v>2716.26</v>
      </c>
      <c r="L508" s="33">
        <v>100203</v>
      </c>
      <c r="M508" s="34">
        <f t="shared" si="64"/>
        <v>24.994082840236686</v>
      </c>
      <c r="N508" s="27">
        <v>84.5</v>
      </c>
      <c r="O508" s="38">
        <f>(M508*0.5)*5.5</f>
        <v>68.73372781065089</v>
      </c>
      <c r="P508" s="35" t="e">
        <f t="shared" si="63"/>
        <v>#VALUE!</v>
      </c>
      <c r="Q508" s="34">
        <f t="shared" si="58"/>
        <v>103.10059171597634</v>
      </c>
      <c r="R508" s="35"/>
    </row>
    <row r="509" spans="1:18" x14ac:dyDescent="0.3">
      <c r="A509" s="37">
        <v>43915</v>
      </c>
      <c r="B509" s="33" t="s">
        <v>46</v>
      </c>
      <c r="C509" s="34"/>
      <c r="D509" s="31">
        <v>13.5</v>
      </c>
      <c r="E509" s="35"/>
      <c r="F509" s="35"/>
      <c r="G509" s="34"/>
      <c r="H509" s="34"/>
      <c r="I509" s="34"/>
      <c r="J509" s="34"/>
      <c r="K509" s="34"/>
      <c r="L509" s="33"/>
      <c r="M509" s="38">
        <v>40.51</v>
      </c>
      <c r="N509" s="27">
        <v>13.5</v>
      </c>
      <c r="O509" s="50">
        <f>N509*M509</f>
        <v>546.88499999999999</v>
      </c>
      <c r="P509" s="35">
        <f t="shared" si="63"/>
        <v>82.03</v>
      </c>
      <c r="Q509" s="40">
        <f t="shared" ref="Q509:Q511" si="65">O509*2</f>
        <v>1093.77</v>
      </c>
      <c r="R509" s="35">
        <v>556.29999999999995</v>
      </c>
    </row>
    <row r="510" spans="1:18" x14ac:dyDescent="0.3">
      <c r="A510" s="32">
        <v>43917</v>
      </c>
      <c r="B510" s="33" t="s">
        <v>46</v>
      </c>
      <c r="C510" s="34">
        <v>1991.09</v>
      </c>
      <c r="D510" s="36">
        <v>42.5</v>
      </c>
      <c r="E510" s="35"/>
      <c r="F510" s="49">
        <v>2344.13</v>
      </c>
      <c r="G510" s="34">
        <v>353.04</v>
      </c>
      <c r="H510" s="34">
        <v>0</v>
      </c>
      <c r="I510" s="34">
        <v>2344.13</v>
      </c>
      <c r="J510" s="34">
        <v>346.36</v>
      </c>
      <c r="K510" s="34">
        <v>2690.49</v>
      </c>
      <c r="L510" s="33">
        <v>100206</v>
      </c>
      <c r="M510" s="34">
        <f t="shared" si="64"/>
        <v>28.76233128834356</v>
      </c>
      <c r="N510" s="27">
        <v>81.5</v>
      </c>
      <c r="O510" s="38">
        <f>(M510*0.5)*1</f>
        <v>14.38116564417178</v>
      </c>
      <c r="P510" s="35">
        <f t="shared" si="63"/>
        <v>2.16</v>
      </c>
      <c r="Q510" s="40">
        <f t="shared" si="65"/>
        <v>28.76233128834356</v>
      </c>
      <c r="R510" s="35"/>
    </row>
    <row r="511" spans="1:18" x14ac:dyDescent="0.3">
      <c r="A511" s="29">
        <v>43931</v>
      </c>
      <c r="B511" s="33" t="s">
        <v>46</v>
      </c>
      <c r="C511" s="34">
        <v>1033.07</v>
      </c>
      <c r="D511" s="30">
        <v>16</v>
      </c>
      <c r="E511" s="35"/>
      <c r="F511" s="35">
        <v>1140</v>
      </c>
      <c r="G511" s="34">
        <v>106.93</v>
      </c>
      <c r="H511" s="34">
        <v>0</v>
      </c>
      <c r="I511" s="34">
        <v>1140</v>
      </c>
      <c r="J511" s="34">
        <v>168.96</v>
      </c>
      <c r="K511" s="34">
        <v>1308.96</v>
      </c>
      <c r="L511" s="33">
        <v>100209</v>
      </c>
      <c r="M511" s="34">
        <f t="shared" si="64"/>
        <v>71.25</v>
      </c>
      <c r="N511" s="27">
        <v>16</v>
      </c>
      <c r="O511" s="34">
        <v>0</v>
      </c>
      <c r="P511" s="35">
        <f t="shared" si="63"/>
        <v>0</v>
      </c>
      <c r="Q511" s="40">
        <f t="shared" si="65"/>
        <v>0</v>
      </c>
      <c r="R511" s="35"/>
    </row>
    <row r="512" spans="1:18" hidden="1" x14ac:dyDescent="0.3">
      <c r="A512" s="37" t="s">
        <v>77</v>
      </c>
      <c r="B512" s="33" t="s">
        <v>46</v>
      </c>
      <c r="C512" s="34">
        <v>500</v>
      </c>
      <c r="D512" s="33">
        <v>19.36</v>
      </c>
      <c r="E512" s="33"/>
      <c r="F512" s="33">
        <v>551.76</v>
      </c>
      <c r="G512" s="34">
        <v>51.76</v>
      </c>
      <c r="H512" s="34">
        <v>0</v>
      </c>
      <c r="I512" s="34">
        <v>551.76</v>
      </c>
      <c r="J512" s="34">
        <v>81.59</v>
      </c>
      <c r="K512" s="34">
        <v>633.35</v>
      </c>
      <c r="L512" s="33">
        <v>100212</v>
      </c>
      <c r="M512" s="34" t="e">
        <f t="shared" si="64"/>
        <v>#DIV/0!</v>
      </c>
      <c r="N512" s="27"/>
      <c r="O512" s="34" t="e">
        <f t="shared" si="57"/>
        <v>#DIV/0!</v>
      </c>
      <c r="P512" s="35" t="e">
        <f t="shared" si="63"/>
        <v>#VALUE!</v>
      </c>
      <c r="Q512" s="34" t="e">
        <f t="shared" si="58"/>
        <v>#DIV/0!</v>
      </c>
      <c r="R512" s="35"/>
    </row>
    <row r="513" spans="1:18" hidden="1" x14ac:dyDescent="0.3">
      <c r="A513" s="37" t="s">
        <v>77</v>
      </c>
      <c r="B513" s="33" t="s">
        <v>46</v>
      </c>
      <c r="C513" s="34">
        <v>700.04</v>
      </c>
      <c r="D513" s="33">
        <v>55</v>
      </c>
      <c r="E513" s="33"/>
      <c r="F513" s="33">
        <v>772.49</v>
      </c>
      <c r="G513" s="34">
        <v>72.45</v>
      </c>
      <c r="H513" s="34">
        <v>0</v>
      </c>
      <c r="I513" s="34">
        <v>772.49</v>
      </c>
      <c r="J513" s="34">
        <v>111.25</v>
      </c>
      <c r="K513" s="34">
        <v>883.74</v>
      </c>
      <c r="L513" s="33">
        <v>100216</v>
      </c>
      <c r="M513" s="34" t="e">
        <f t="shared" si="64"/>
        <v>#DIV/0!</v>
      </c>
      <c r="N513" s="27"/>
      <c r="O513" s="34" t="e">
        <f t="shared" si="57"/>
        <v>#DIV/0!</v>
      </c>
      <c r="P513" s="35" t="e">
        <f t="shared" si="63"/>
        <v>#VALUE!</v>
      </c>
      <c r="Q513" s="34" t="e">
        <f t="shared" si="58"/>
        <v>#DIV/0!</v>
      </c>
      <c r="R513" s="35"/>
    </row>
    <row r="514" spans="1:18" x14ac:dyDescent="0.3">
      <c r="A514" s="32">
        <v>43973</v>
      </c>
      <c r="B514" s="33" t="s">
        <v>46</v>
      </c>
      <c r="C514" s="34">
        <v>1407.54</v>
      </c>
      <c r="D514" s="30">
        <v>55</v>
      </c>
      <c r="E514" s="35"/>
      <c r="F514" s="35">
        <v>1553.25</v>
      </c>
      <c r="G514" s="34">
        <v>145.71</v>
      </c>
      <c r="H514" s="34">
        <v>0</v>
      </c>
      <c r="I514" s="34">
        <v>1553.25</v>
      </c>
      <c r="J514" s="34">
        <v>220.39</v>
      </c>
      <c r="K514" s="34">
        <v>1773.64</v>
      </c>
      <c r="L514" s="33">
        <v>100219</v>
      </c>
      <c r="M514" s="34">
        <f t="shared" si="64"/>
        <v>28.240909090909092</v>
      </c>
      <c r="N514" s="27">
        <v>55</v>
      </c>
      <c r="O514" s="34">
        <v>0</v>
      </c>
      <c r="P514" s="35">
        <f t="shared" si="63"/>
        <v>0</v>
      </c>
      <c r="Q514" s="40">
        <f t="shared" ref="Q514:Q518" si="66">O514*2</f>
        <v>0</v>
      </c>
      <c r="R514" s="35"/>
    </row>
    <row r="515" spans="1:18" x14ac:dyDescent="0.3">
      <c r="A515" s="32">
        <v>43987</v>
      </c>
      <c r="B515" s="33" t="s">
        <v>46</v>
      </c>
      <c r="C515" s="34">
        <v>3258.7</v>
      </c>
      <c r="D515" s="30">
        <v>80</v>
      </c>
      <c r="E515" s="35"/>
      <c r="F515" s="49">
        <v>3731.46</v>
      </c>
      <c r="G515" s="34">
        <v>472.76</v>
      </c>
      <c r="H515" s="34">
        <v>0</v>
      </c>
      <c r="I515" s="34">
        <v>3731.46</v>
      </c>
      <c r="J515" s="34">
        <v>475.45</v>
      </c>
      <c r="K515" s="34">
        <v>4206.91</v>
      </c>
      <c r="L515" s="33">
        <v>100222</v>
      </c>
      <c r="M515" s="34">
        <f t="shared" si="64"/>
        <v>33.768868778280542</v>
      </c>
      <c r="N515" s="27">
        <v>110.5</v>
      </c>
      <c r="O515" s="38">
        <f>(M515*1.5)*1</f>
        <v>50.653303167420816</v>
      </c>
      <c r="P515" s="35">
        <f t="shared" si="63"/>
        <v>6.58</v>
      </c>
      <c r="Q515" s="40">
        <f t="shared" si="66"/>
        <v>101.30660633484163</v>
      </c>
      <c r="R515" s="35"/>
    </row>
    <row r="516" spans="1:18" x14ac:dyDescent="0.3">
      <c r="A516" s="29">
        <v>43995</v>
      </c>
      <c r="B516" s="33" t="s">
        <v>46</v>
      </c>
      <c r="C516" s="34">
        <v>2797.91</v>
      </c>
      <c r="D516" s="31">
        <v>67</v>
      </c>
      <c r="E516" s="35"/>
      <c r="F516" s="49">
        <v>3583.88</v>
      </c>
      <c r="G516" s="34"/>
      <c r="H516" s="34"/>
      <c r="I516" s="34"/>
      <c r="J516" s="34"/>
      <c r="K516" s="34"/>
      <c r="L516" s="33"/>
      <c r="M516" s="38">
        <v>40.51</v>
      </c>
      <c r="N516" s="27">
        <v>67</v>
      </c>
      <c r="O516" s="42">
        <v>0</v>
      </c>
      <c r="P516" s="35">
        <f t="shared" si="63"/>
        <v>0</v>
      </c>
      <c r="Q516" s="40">
        <f t="shared" si="66"/>
        <v>0</v>
      </c>
      <c r="R516" s="35"/>
    </row>
    <row r="517" spans="1:18" x14ac:dyDescent="0.3">
      <c r="A517" s="29">
        <v>44009</v>
      </c>
      <c r="B517" s="33" t="s">
        <v>46</v>
      </c>
      <c r="C517" s="34">
        <v>2625.18</v>
      </c>
      <c r="D517" s="30">
        <v>94.5</v>
      </c>
      <c r="E517" s="35"/>
      <c r="F517" s="40">
        <v>2899.88</v>
      </c>
      <c r="G517" s="34"/>
      <c r="H517" s="34"/>
      <c r="I517" s="34"/>
      <c r="J517" s="34"/>
      <c r="K517" s="34"/>
      <c r="L517" s="33"/>
      <c r="M517" s="42">
        <v>40.51</v>
      </c>
      <c r="N517" s="27">
        <v>94.5</v>
      </c>
      <c r="O517" s="42">
        <v>0</v>
      </c>
      <c r="P517" s="35">
        <f t="shared" si="63"/>
        <v>0</v>
      </c>
      <c r="Q517" s="40">
        <f t="shared" si="66"/>
        <v>0</v>
      </c>
      <c r="R517" s="35"/>
    </row>
    <row r="518" spans="1:18" x14ac:dyDescent="0.3">
      <c r="A518" s="29">
        <v>44023</v>
      </c>
      <c r="B518" s="33" t="s">
        <v>46</v>
      </c>
      <c r="C518" s="34">
        <v>1430.3</v>
      </c>
      <c r="D518" s="31">
        <v>77</v>
      </c>
      <c r="E518" s="35"/>
      <c r="F518" s="40">
        <v>1909.5</v>
      </c>
      <c r="G518" s="34"/>
      <c r="H518" s="34"/>
      <c r="I518" s="34"/>
      <c r="J518" s="34"/>
      <c r="K518" s="34"/>
      <c r="L518" s="33"/>
      <c r="M518" s="38">
        <v>40.51</v>
      </c>
      <c r="N518" s="27">
        <v>77</v>
      </c>
      <c r="O518" s="50">
        <f>M518*10</f>
        <v>405.09999999999997</v>
      </c>
      <c r="P518" s="35">
        <f t="shared" si="63"/>
        <v>44.56</v>
      </c>
      <c r="Q518" s="40">
        <f t="shared" si="66"/>
        <v>810.19999999999993</v>
      </c>
      <c r="R518" s="35"/>
    </row>
    <row r="519" spans="1:18" hidden="1" x14ac:dyDescent="0.3">
      <c r="A519" s="37" t="s">
        <v>77</v>
      </c>
      <c r="B519" s="33" t="s">
        <v>94</v>
      </c>
      <c r="C519" s="34">
        <v>2632</v>
      </c>
      <c r="D519" s="33">
        <v>80</v>
      </c>
      <c r="E519" s="33">
        <v>256.02999999999997</v>
      </c>
      <c r="F519" s="33">
        <v>2640</v>
      </c>
      <c r="G519" s="34">
        <v>264.02999999999997</v>
      </c>
      <c r="H519" s="34">
        <v>0</v>
      </c>
      <c r="I519" s="34">
        <v>2896.03</v>
      </c>
      <c r="J519" s="34">
        <v>451.88</v>
      </c>
      <c r="K519" s="34">
        <v>3347.91</v>
      </c>
      <c r="L519" s="33">
        <v>100101</v>
      </c>
      <c r="M519" s="34" t="e">
        <f t="shared" si="64"/>
        <v>#DIV/0!</v>
      </c>
      <c r="N519" s="27"/>
      <c r="O519" s="34" t="e">
        <f t="shared" si="57"/>
        <v>#DIV/0!</v>
      </c>
      <c r="P519" s="35" t="e">
        <f t="shared" si="63"/>
        <v>#VALUE!</v>
      </c>
      <c r="Q519" s="34" t="e">
        <f t="shared" si="58"/>
        <v>#DIV/0!</v>
      </c>
      <c r="R519" s="35">
        <v>409.55</v>
      </c>
    </row>
    <row r="520" spans="1:18" hidden="1" x14ac:dyDescent="0.3">
      <c r="A520" s="37" t="s">
        <v>77</v>
      </c>
      <c r="B520" s="33" t="s">
        <v>94</v>
      </c>
      <c r="C520" s="34">
        <v>1265</v>
      </c>
      <c r="D520" s="33">
        <v>77.5</v>
      </c>
      <c r="E520" s="33">
        <v>2.1</v>
      </c>
      <c r="F520" s="33">
        <v>2015</v>
      </c>
      <c r="G520" s="34">
        <v>312.10000000000002</v>
      </c>
      <c r="H520" s="34">
        <v>440</v>
      </c>
      <c r="I520" s="34">
        <v>2017.1</v>
      </c>
      <c r="J520" s="34">
        <v>358.44</v>
      </c>
      <c r="K520" s="34">
        <v>2375.54</v>
      </c>
      <c r="L520" s="33">
        <v>100104</v>
      </c>
      <c r="M520" s="34" t="e">
        <f t="shared" si="64"/>
        <v>#DIV/0!</v>
      </c>
      <c r="N520" s="27"/>
      <c r="O520" s="34" t="e">
        <f t="shared" si="57"/>
        <v>#DIV/0!</v>
      </c>
      <c r="P520" s="35" t="e">
        <f t="shared" si="63"/>
        <v>#VALUE!</v>
      </c>
      <c r="Q520" s="34" t="e">
        <f t="shared" si="58"/>
        <v>#DIV/0!</v>
      </c>
      <c r="R520" s="35"/>
    </row>
    <row r="521" spans="1:18" hidden="1" x14ac:dyDescent="0.3">
      <c r="A521" s="37" t="s">
        <v>77</v>
      </c>
      <c r="B521" s="33" t="s">
        <v>94</v>
      </c>
      <c r="C521" s="34">
        <v>1884</v>
      </c>
      <c r="D521" s="33">
        <v>80</v>
      </c>
      <c r="E521" s="33">
        <v>757.18</v>
      </c>
      <c r="F521" s="33">
        <v>2480</v>
      </c>
      <c r="G521" s="34">
        <v>553.17999999999995</v>
      </c>
      <c r="H521" s="34">
        <v>800</v>
      </c>
      <c r="I521" s="34">
        <v>3237.18</v>
      </c>
      <c r="J521" s="34">
        <v>479.3</v>
      </c>
      <c r="K521" s="34">
        <v>3716.48</v>
      </c>
      <c r="L521" s="33">
        <v>100118</v>
      </c>
      <c r="M521" s="34" t="e">
        <f t="shared" si="64"/>
        <v>#DIV/0!</v>
      </c>
      <c r="N521" s="27"/>
      <c r="O521" s="34" t="e">
        <f t="shared" si="57"/>
        <v>#DIV/0!</v>
      </c>
      <c r="P521" s="35" t="e">
        <f t="shared" si="63"/>
        <v>#VALUE!</v>
      </c>
      <c r="Q521" s="34" t="e">
        <f t="shared" si="58"/>
        <v>#DIV/0!</v>
      </c>
      <c r="R521" s="35"/>
    </row>
    <row r="522" spans="1:18" hidden="1" x14ac:dyDescent="0.3">
      <c r="A522" s="37" t="s">
        <v>77</v>
      </c>
      <c r="B522" s="33" t="s">
        <v>94</v>
      </c>
      <c r="C522" s="34">
        <v>1639</v>
      </c>
      <c r="D522" s="33">
        <v>80</v>
      </c>
      <c r="E522" s="33">
        <v>689.42</v>
      </c>
      <c r="F522" s="33">
        <v>1800</v>
      </c>
      <c r="G522" s="34">
        <v>410.42</v>
      </c>
      <c r="H522" s="34">
        <v>440</v>
      </c>
      <c r="I522" s="34">
        <v>2489.42</v>
      </c>
      <c r="J522" s="34">
        <v>410.98</v>
      </c>
      <c r="K522" s="34">
        <v>2900.4</v>
      </c>
      <c r="L522" s="33">
        <v>100125</v>
      </c>
      <c r="M522" s="34" t="e">
        <f t="shared" si="64"/>
        <v>#DIV/0!</v>
      </c>
      <c r="N522" s="27"/>
      <c r="O522" s="34" t="e">
        <f t="shared" si="57"/>
        <v>#DIV/0!</v>
      </c>
      <c r="P522" s="35" t="e">
        <f t="shared" si="63"/>
        <v>#VALUE!</v>
      </c>
      <c r="Q522" s="34" t="e">
        <f t="shared" si="58"/>
        <v>#DIV/0!</v>
      </c>
      <c r="R522" s="35"/>
    </row>
    <row r="523" spans="1:18" hidden="1" x14ac:dyDescent="0.3">
      <c r="A523" s="37" t="s">
        <v>77</v>
      </c>
      <c r="B523" s="33" t="s">
        <v>94</v>
      </c>
      <c r="C523" s="34">
        <v>1796</v>
      </c>
      <c r="D523" s="33">
        <v>80</v>
      </c>
      <c r="E523" s="33">
        <v>1064.92</v>
      </c>
      <c r="F523" s="33">
        <v>1800</v>
      </c>
      <c r="G523" s="34">
        <v>268.92</v>
      </c>
      <c r="H523" s="34">
        <v>800</v>
      </c>
      <c r="I523" s="34">
        <v>2864.92</v>
      </c>
      <c r="J523" s="34">
        <v>448.75</v>
      </c>
      <c r="K523" s="34">
        <v>3313.67</v>
      </c>
      <c r="L523" s="33">
        <v>100133</v>
      </c>
      <c r="M523" s="34" t="e">
        <f t="shared" si="64"/>
        <v>#DIV/0!</v>
      </c>
      <c r="N523" s="27"/>
      <c r="O523" s="34" t="e">
        <f t="shared" si="57"/>
        <v>#DIV/0!</v>
      </c>
      <c r="P523" s="35" t="e">
        <f t="shared" si="63"/>
        <v>#VALUE!</v>
      </c>
      <c r="Q523" s="34" t="e">
        <f t="shared" si="58"/>
        <v>#DIV/0!</v>
      </c>
      <c r="R523" s="35"/>
    </row>
    <row r="524" spans="1:18" hidden="1" x14ac:dyDescent="0.3">
      <c r="A524" s="37" t="s">
        <v>77</v>
      </c>
      <c r="B524" s="33" t="s">
        <v>94</v>
      </c>
      <c r="C524" s="34">
        <v>2871</v>
      </c>
      <c r="D524" s="33">
        <v>80</v>
      </c>
      <c r="E524" s="33">
        <v>1678.23</v>
      </c>
      <c r="F524" s="33">
        <v>1800</v>
      </c>
      <c r="G524" s="34">
        <v>607.23</v>
      </c>
      <c r="H524" s="34">
        <v>0</v>
      </c>
      <c r="I524" s="34">
        <v>3478.23</v>
      </c>
      <c r="J524" s="34">
        <v>499.45</v>
      </c>
      <c r="K524" s="34">
        <v>3977.68</v>
      </c>
      <c r="L524" s="33">
        <v>100145</v>
      </c>
      <c r="M524" s="34" t="e">
        <f t="shared" si="64"/>
        <v>#DIV/0!</v>
      </c>
      <c r="N524" s="27"/>
      <c r="O524" s="34" t="e">
        <f t="shared" si="57"/>
        <v>#DIV/0!</v>
      </c>
      <c r="P524" s="35" t="e">
        <f t="shared" si="63"/>
        <v>#VALUE!</v>
      </c>
      <c r="Q524" s="34" t="e">
        <f t="shared" si="58"/>
        <v>#DIV/0!</v>
      </c>
      <c r="R524" s="35"/>
    </row>
    <row r="525" spans="1:18" hidden="1" x14ac:dyDescent="0.3">
      <c r="A525" s="37" t="s">
        <v>77</v>
      </c>
      <c r="B525" s="33" t="s">
        <v>94</v>
      </c>
      <c r="C525" s="34">
        <v>2409</v>
      </c>
      <c r="D525" s="33">
        <v>80</v>
      </c>
      <c r="E525" s="33">
        <v>252.87</v>
      </c>
      <c r="F525" s="33">
        <v>2409</v>
      </c>
      <c r="G525" s="34">
        <v>252.87</v>
      </c>
      <c r="H525" s="34">
        <v>0</v>
      </c>
      <c r="I525" s="34">
        <v>2661.87</v>
      </c>
      <c r="J525" s="34">
        <v>412.36</v>
      </c>
      <c r="K525" s="34">
        <v>3074.23</v>
      </c>
      <c r="L525" s="33">
        <v>100153</v>
      </c>
      <c r="M525" s="34" t="e">
        <f t="shared" si="64"/>
        <v>#DIV/0!</v>
      </c>
      <c r="N525" s="27"/>
      <c r="O525" s="34" t="e">
        <f t="shared" si="57"/>
        <v>#DIV/0!</v>
      </c>
      <c r="P525" s="35" t="e">
        <f t="shared" si="63"/>
        <v>#VALUE!</v>
      </c>
      <c r="Q525" s="34" t="e">
        <f t="shared" si="58"/>
        <v>#DIV/0!</v>
      </c>
      <c r="R525" s="35"/>
    </row>
    <row r="526" spans="1:18" hidden="1" x14ac:dyDescent="0.3">
      <c r="A526" s="37" t="s">
        <v>77</v>
      </c>
      <c r="B526" s="33" t="s">
        <v>94</v>
      </c>
      <c r="C526" s="34">
        <v>2145</v>
      </c>
      <c r="D526" s="33">
        <v>80</v>
      </c>
      <c r="E526" s="33">
        <v>1052.97</v>
      </c>
      <c r="F526" s="33">
        <v>1800</v>
      </c>
      <c r="G526" s="34">
        <v>267.97000000000003</v>
      </c>
      <c r="H526" s="34">
        <v>440</v>
      </c>
      <c r="I526" s="34">
        <v>2852.97</v>
      </c>
      <c r="J526" s="34">
        <v>430.43</v>
      </c>
      <c r="K526" s="34">
        <v>3283.4</v>
      </c>
      <c r="L526" s="33">
        <v>100165</v>
      </c>
      <c r="M526" s="34" t="e">
        <f t="shared" si="64"/>
        <v>#DIV/0!</v>
      </c>
      <c r="N526" s="27"/>
      <c r="O526" s="34" t="e">
        <f t="shared" ref="O526:O593" si="67">((N526-80)*M526)*0.5</f>
        <v>#DIV/0!</v>
      </c>
      <c r="P526" s="35" t="e">
        <f t="shared" si="63"/>
        <v>#VALUE!</v>
      </c>
      <c r="Q526" s="34" t="e">
        <f t="shared" ref="Q526:Q588" si="68">O526*1.5</f>
        <v>#DIV/0!</v>
      </c>
      <c r="R526" s="35"/>
    </row>
    <row r="527" spans="1:18" hidden="1" x14ac:dyDescent="0.3">
      <c r="A527" s="37" t="s">
        <v>77</v>
      </c>
      <c r="B527" s="33" t="s">
        <v>94</v>
      </c>
      <c r="C527" s="34">
        <v>2750</v>
      </c>
      <c r="D527" s="33">
        <v>80</v>
      </c>
      <c r="E527" s="33">
        <v>1527.16</v>
      </c>
      <c r="F527" s="33">
        <v>1800</v>
      </c>
      <c r="G527" s="34">
        <v>577.16</v>
      </c>
      <c r="H527" s="34">
        <v>0</v>
      </c>
      <c r="I527" s="34">
        <v>3327.16</v>
      </c>
      <c r="J527" s="34">
        <v>475.28</v>
      </c>
      <c r="K527" s="34">
        <v>3802.44</v>
      </c>
      <c r="L527" s="33">
        <v>100166</v>
      </c>
      <c r="M527" s="34" t="e">
        <f t="shared" si="64"/>
        <v>#DIV/0!</v>
      </c>
      <c r="N527" s="27"/>
      <c r="O527" s="34" t="e">
        <f t="shared" si="67"/>
        <v>#DIV/0!</v>
      </c>
      <c r="P527" s="35" t="e">
        <f t="shared" si="63"/>
        <v>#VALUE!</v>
      </c>
      <c r="Q527" s="34" t="e">
        <f t="shared" si="68"/>
        <v>#DIV/0!</v>
      </c>
      <c r="R527" s="35"/>
    </row>
    <row r="528" spans="1:18" hidden="1" x14ac:dyDescent="0.3">
      <c r="A528" s="37" t="s">
        <v>77</v>
      </c>
      <c r="B528" s="33" t="s">
        <v>94</v>
      </c>
      <c r="C528" s="34">
        <v>2024</v>
      </c>
      <c r="D528" s="33">
        <v>80</v>
      </c>
      <c r="E528" s="33">
        <v>1170.0999999999999</v>
      </c>
      <c r="F528" s="33">
        <v>1800</v>
      </c>
      <c r="G528" s="34">
        <v>506.1</v>
      </c>
      <c r="H528" s="34">
        <v>440</v>
      </c>
      <c r="I528" s="34">
        <v>2970.1</v>
      </c>
      <c r="J528" s="34">
        <v>441.52</v>
      </c>
      <c r="K528" s="34">
        <v>3411.62</v>
      </c>
      <c r="L528" s="33">
        <v>100171</v>
      </c>
      <c r="M528" s="34" t="e">
        <f t="shared" si="64"/>
        <v>#DIV/0!</v>
      </c>
      <c r="N528" s="27"/>
      <c r="O528" s="34" t="e">
        <f t="shared" si="67"/>
        <v>#DIV/0!</v>
      </c>
      <c r="P528" s="35" t="e">
        <f t="shared" si="63"/>
        <v>#VALUE!</v>
      </c>
      <c r="Q528" s="34" t="e">
        <f t="shared" si="68"/>
        <v>#DIV/0!</v>
      </c>
      <c r="R528" s="35"/>
    </row>
    <row r="529" spans="1:18" hidden="1" x14ac:dyDescent="0.3">
      <c r="A529" s="37" t="s">
        <v>77</v>
      </c>
      <c r="B529" s="33" t="s">
        <v>94</v>
      </c>
      <c r="C529" s="34">
        <v>2024</v>
      </c>
      <c r="D529" s="33">
        <v>80</v>
      </c>
      <c r="E529" s="33">
        <v>620.76</v>
      </c>
      <c r="F529" s="33">
        <v>1800</v>
      </c>
      <c r="G529" s="34">
        <v>396.76</v>
      </c>
      <c r="H529" s="34">
        <v>0</v>
      </c>
      <c r="I529" s="34">
        <v>2420.7600000000002</v>
      </c>
      <c r="J529" s="34">
        <v>389.54</v>
      </c>
      <c r="K529" s="34">
        <v>2810.3</v>
      </c>
      <c r="L529" s="33" t="s">
        <v>14</v>
      </c>
      <c r="M529" s="34" t="e">
        <f t="shared" si="64"/>
        <v>#DIV/0!</v>
      </c>
      <c r="N529" s="27"/>
      <c r="O529" s="34" t="e">
        <f t="shared" si="67"/>
        <v>#DIV/0!</v>
      </c>
      <c r="P529" s="35" t="e">
        <f t="shared" si="63"/>
        <v>#VALUE!</v>
      </c>
      <c r="Q529" s="34" t="e">
        <f t="shared" si="68"/>
        <v>#DIV/0!</v>
      </c>
      <c r="R529" s="35"/>
    </row>
    <row r="530" spans="1:18" hidden="1" x14ac:dyDescent="0.3">
      <c r="A530" s="37" t="s">
        <v>77</v>
      </c>
      <c r="B530" s="33" t="s">
        <v>94</v>
      </c>
      <c r="C530" s="34">
        <v>550</v>
      </c>
      <c r="D530" s="33">
        <v>25</v>
      </c>
      <c r="E530" s="33">
        <v>49.12</v>
      </c>
      <c r="F530" s="33">
        <v>562.5</v>
      </c>
      <c r="G530" s="34">
        <v>61.62</v>
      </c>
      <c r="H530" s="34">
        <v>0</v>
      </c>
      <c r="I530" s="34">
        <v>611.62</v>
      </c>
      <c r="J530" s="34">
        <v>108.03</v>
      </c>
      <c r="K530" s="34">
        <v>719.65</v>
      </c>
      <c r="L530" s="33">
        <v>100174</v>
      </c>
      <c r="M530" s="34" t="e">
        <f t="shared" si="64"/>
        <v>#DIV/0!</v>
      </c>
      <c r="N530" s="27"/>
      <c r="O530" s="34" t="e">
        <f t="shared" si="67"/>
        <v>#DIV/0!</v>
      </c>
      <c r="P530" s="35" t="e">
        <f t="shared" si="63"/>
        <v>#VALUE!</v>
      </c>
      <c r="Q530" s="34" t="e">
        <f t="shared" si="68"/>
        <v>#DIV/0!</v>
      </c>
      <c r="R530" s="35"/>
    </row>
    <row r="531" spans="1:18" hidden="1" x14ac:dyDescent="0.3">
      <c r="A531" s="37" t="s">
        <v>77</v>
      </c>
      <c r="B531" s="33" t="s">
        <v>94</v>
      </c>
      <c r="C531" s="34">
        <v>1576</v>
      </c>
      <c r="D531" s="33">
        <v>80</v>
      </c>
      <c r="E531" s="33">
        <v>610.75</v>
      </c>
      <c r="F531" s="33">
        <v>1800</v>
      </c>
      <c r="G531" s="34">
        <v>394.75</v>
      </c>
      <c r="H531" s="34">
        <v>440</v>
      </c>
      <c r="I531" s="34">
        <v>2410.75</v>
      </c>
      <c r="J531" s="34">
        <v>384.49</v>
      </c>
      <c r="K531" s="34">
        <v>2795.24</v>
      </c>
      <c r="L531" s="33" t="s">
        <v>14</v>
      </c>
      <c r="M531" s="34" t="e">
        <f t="shared" si="64"/>
        <v>#DIV/0!</v>
      </c>
      <c r="N531" s="27"/>
      <c r="O531" s="34" t="e">
        <f t="shared" si="67"/>
        <v>#DIV/0!</v>
      </c>
      <c r="P531" s="35" t="e">
        <f t="shared" si="63"/>
        <v>#VALUE!</v>
      </c>
      <c r="Q531" s="34" t="e">
        <f t="shared" si="68"/>
        <v>#DIV/0!</v>
      </c>
      <c r="R531" s="35"/>
    </row>
    <row r="532" spans="1:18" hidden="1" x14ac:dyDescent="0.3">
      <c r="A532" s="37" t="s">
        <v>77</v>
      </c>
      <c r="B532" s="33" t="s">
        <v>94</v>
      </c>
      <c r="C532" s="34">
        <v>2142</v>
      </c>
      <c r="D532" s="33">
        <v>80</v>
      </c>
      <c r="E532" s="33">
        <v>768.08</v>
      </c>
      <c r="F532" s="33">
        <v>1800</v>
      </c>
      <c r="G532" s="34">
        <v>426.08</v>
      </c>
      <c r="H532" s="34">
        <v>0</v>
      </c>
      <c r="I532" s="34">
        <v>2568.08</v>
      </c>
      <c r="J532" s="34">
        <v>399.11</v>
      </c>
      <c r="K532" s="34">
        <v>2967.19</v>
      </c>
      <c r="L532" s="33" t="s">
        <v>14</v>
      </c>
      <c r="M532" s="34" t="e">
        <f t="shared" si="64"/>
        <v>#DIV/0!</v>
      </c>
      <c r="N532" s="27"/>
      <c r="O532" s="34" t="e">
        <f t="shared" si="67"/>
        <v>#DIV/0!</v>
      </c>
      <c r="P532" s="35" t="e">
        <f t="shared" si="63"/>
        <v>#VALUE!</v>
      </c>
      <c r="Q532" s="34" t="e">
        <f t="shared" si="68"/>
        <v>#DIV/0!</v>
      </c>
      <c r="R532" s="35"/>
    </row>
    <row r="533" spans="1:18" hidden="1" x14ac:dyDescent="0.3">
      <c r="A533" s="37" t="s">
        <v>77</v>
      </c>
      <c r="B533" s="33" t="s">
        <v>94</v>
      </c>
      <c r="C533" s="34">
        <v>1925</v>
      </c>
      <c r="D533" s="33">
        <v>80</v>
      </c>
      <c r="E533" s="33">
        <v>1046.49</v>
      </c>
      <c r="F533" s="33">
        <v>1800</v>
      </c>
      <c r="G533" s="34">
        <v>481.49</v>
      </c>
      <c r="H533" s="34">
        <v>440</v>
      </c>
      <c r="I533" s="34">
        <v>2846.49</v>
      </c>
      <c r="J533" s="34">
        <v>424.98</v>
      </c>
      <c r="K533" s="34">
        <v>3271.47</v>
      </c>
      <c r="L533" s="33" t="s">
        <v>14</v>
      </c>
      <c r="M533" s="34" t="e">
        <f t="shared" si="64"/>
        <v>#DIV/0!</v>
      </c>
      <c r="N533" s="27"/>
      <c r="O533" s="34" t="e">
        <f t="shared" si="67"/>
        <v>#DIV/0!</v>
      </c>
      <c r="P533" s="35" t="e">
        <f t="shared" si="63"/>
        <v>#VALUE!</v>
      </c>
      <c r="Q533" s="34" t="e">
        <f t="shared" si="68"/>
        <v>#DIV/0!</v>
      </c>
      <c r="R533" s="35"/>
    </row>
    <row r="534" spans="1:18" hidden="1" x14ac:dyDescent="0.3">
      <c r="A534" s="37" t="s">
        <v>77</v>
      </c>
      <c r="B534" s="33" t="s">
        <v>94</v>
      </c>
      <c r="C534" s="34">
        <v>1121</v>
      </c>
      <c r="D534" s="33">
        <v>80</v>
      </c>
      <c r="E534" s="33">
        <v>304.89999999999998</v>
      </c>
      <c r="F534" s="33">
        <v>1800</v>
      </c>
      <c r="G534" s="34">
        <v>333.9</v>
      </c>
      <c r="H534" s="34">
        <v>650</v>
      </c>
      <c r="I534" s="34">
        <v>2104.9</v>
      </c>
      <c r="J534" s="34">
        <v>356.09</v>
      </c>
      <c r="K534" s="34">
        <v>2460.9899999999998</v>
      </c>
      <c r="L534" s="33" t="s">
        <v>14</v>
      </c>
      <c r="M534" s="34" t="e">
        <f t="shared" si="64"/>
        <v>#DIV/0!</v>
      </c>
      <c r="N534" s="27"/>
      <c r="O534" s="34" t="e">
        <f t="shared" si="67"/>
        <v>#DIV/0!</v>
      </c>
      <c r="P534" s="35" t="e">
        <f t="shared" si="63"/>
        <v>#VALUE!</v>
      </c>
      <c r="Q534" s="34" t="e">
        <f t="shared" si="68"/>
        <v>#DIV/0!</v>
      </c>
      <c r="R534" s="35"/>
    </row>
    <row r="535" spans="1:18" x14ac:dyDescent="0.3">
      <c r="A535" s="32">
        <v>43637</v>
      </c>
      <c r="B535" s="33" t="s">
        <v>94</v>
      </c>
      <c r="C535" s="34">
        <v>1506</v>
      </c>
      <c r="D535" s="36">
        <v>64.5</v>
      </c>
      <c r="E535" s="35">
        <v>1213.8900000000001</v>
      </c>
      <c r="F535" s="35">
        <v>1800</v>
      </c>
      <c r="G535" s="34">
        <v>417.89</v>
      </c>
      <c r="H535" s="34">
        <v>1090</v>
      </c>
      <c r="I535" s="34">
        <v>3013.89</v>
      </c>
      <c r="J535" s="34">
        <v>440.53</v>
      </c>
      <c r="K535" s="34">
        <v>3454.42</v>
      </c>
      <c r="L535" s="33" t="s">
        <v>14</v>
      </c>
      <c r="M535" s="34">
        <f t="shared" si="64"/>
        <v>40.728243243243249</v>
      </c>
      <c r="N535" s="27">
        <v>74</v>
      </c>
      <c r="O535" s="38">
        <f>(M535*0.5)*24.5</f>
        <v>498.92097972972982</v>
      </c>
      <c r="P535" s="35">
        <f t="shared" si="63"/>
        <v>119.74</v>
      </c>
      <c r="Q535" s="40">
        <f t="shared" ref="Q535:Q556" si="69">O535*2</f>
        <v>997.84195945945964</v>
      </c>
      <c r="R535" s="35">
        <v>556.29999999999995</v>
      </c>
    </row>
    <row r="536" spans="1:18" x14ac:dyDescent="0.3">
      <c r="A536" s="32">
        <v>43651</v>
      </c>
      <c r="B536" s="33" t="s">
        <v>94</v>
      </c>
      <c r="C536" s="34">
        <v>4843</v>
      </c>
      <c r="D536" s="33">
        <v>80</v>
      </c>
      <c r="E536" s="35">
        <v>790.18</v>
      </c>
      <c r="F536" s="40">
        <v>1800</v>
      </c>
      <c r="G536" s="34">
        <v>247.18</v>
      </c>
      <c r="H536" s="34">
        <v>0</v>
      </c>
      <c r="I536" s="34">
        <v>5090.18</v>
      </c>
      <c r="J536" s="34">
        <v>401.16</v>
      </c>
      <c r="K536" s="34">
        <v>5491.34</v>
      </c>
      <c r="L536" s="33" t="s">
        <v>14</v>
      </c>
      <c r="M536" s="34">
        <f t="shared" si="64"/>
        <v>24.320938967136147</v>
      </c>
      <c r="N536" s="27">
        <v>106.5</v>
      </c>
      <c r="O536" s="34">
        <f t="shared" si="67"/>
        <v>322.25244131455395</v>
      </c>
      <c r="P536" s="35">
        <f t="shared" si="63"/>
        <v>77.34</v>
      </c>
      <c r="Q536" s="40">
        <f t="shared" si="69"/>
        <v>644.5048826291079</v>
      </c>
      <c r="R536" s="35"/>
    </row>
    <row r="537" spans="1:18" x14ac:dyDescent="0.3">
      <c r="A537" s="32">
        <v>43665</v>
      </c>
      <c r="B537" s="33" t="s">
        <v>94</v>
      </c>
      <c r="C537" s="34">
        <v>2002</v>
      </c>
      <c r="D537" s="33">
        <v>80</v>
      </c>
      <c r="E537" s="35">
        <v>275.64999999999998</v>
      </c>
      <c r="F537" s="35">
        <v>2002</v>
      </c>
      <c r="G537" s="34">
        <v>275.64999999999998</v>
      </c>
      <c r="H537" s="34">
        <v>0</v>
      </c>
      <c r="I537" s="34">
        <v>2277.65</v>
      </c>
      <c r="J537" s="34">
        <v>372.15</v>
      </c>
      <c r="K537" s="34">
        <v>2649.8</v>
      </c>
      <c r="L537" s="33" t="s">
        <v>14</v>
      </c>
      <c r="M537" s="34">
        <f t="shared" si="64"/>
        <v>25.029120879120882</v>
      </c>
      <c r="N537" s="27">
        <v>91</v>
      </c>
      <c r="O537" s="34">
        <f t="shared" si="67"/>
        <v>137.66016483516484</v>
      </c>
      <c r="P537" s="35">
        <f t="shared" si="63"/>
        <v>31.66</v>
      </c>
      <c r="Q537" s="40">
        <f t="shared" si="69"/>
        <v>275.32032967032967</v>
      </c>
      <c r="R537" s="35"/>
    </row>
    <row r="538" spans="1:18" x14ac:dyDescent="0.3">
      <c r="A538" s="32">
        <v>43679</v>
      </c>
      <c r="B538" s="33" t="s">
        <v>94</v>
      </c>
      <c r="C538" s="34">
        <v>198</v>
      </c>
      <c r="D538" s="33">
        <v>49</v>
      </c>
      <c r="E538" s="35">
        <v>120.69</v>
      </c>
      <c r="F538" s="35">
        <v>1078</v>
      </c>
      <c r="G538" s="34">
        <v>120.76</v>
      </c>
      <c r="H538" s="34">
        <v>879.93</v>
      </c>
      <c r="I538" s="34">
        <v>1198.69</v>
      </c>
      <c r="J538" s="34">
        <v>209.69</v>
      </c>
      <c r="K538" s="34">
        <v>1408.38</v>
      </c>
      <c r="L538" s="33" t="s">
        <v>14</v>
      </c>
      <c r="M538" s="38">
        <v>16</v>
      </c>
      <c r="N538" s="27">
        <v>123</v>
      </c>
      <c r="O538" s="34">
        <f t="shared" si="67"/>
        <v>344</v>
      </c>
      <c r="P538" s="35">
        <f t="shared" si="63"/>
        <v>79.12</v>
      </c>
      <c r="Q538" s="40">
        <f t="shared" si="69"/>
        <v>688</v>
      </c>
      <c r="R538" s="35"/>
    </row>
    <row r="539" spans="1:18" x14ac:dyDescent="0.3">
      <c r="A539" s="32">
        <v>43693</v>
      </c>
      <c r="B539" s="33" t="s">
        <v>94</v>
      </c>
      <c r="C539" s="34">
        <v>1762</v>
      </c>
      <c r="D539" s="33">
        <v>80</v>
      </c>
      <c r="E539" s="35">
        <v>443.75</v>
      </c>
      <c r="F539" s="35">
        <v>2962</v>
      </c>
      <c r="G539" s="34">
        <v>409.43</v>
      </c>
      <c r="H539" s="34">
        <v>800</v>
      </c>
      <c r="I539" s="34">
        <v>2971.43</v>
      </c>
      <c r="J539" s="34">
        <v>436.57</v>
      </c>
      <c r="K539" s="34">
        <v>3408</v>
      </c>
      <c r="L539" s="33" t="s">
        <v>14</v>
      </c>
      <c r="M539" s="34">
        <f t="shared" si="64"/>
        <v>27.689024390243901</v>
      </c>
      <c r="N539" s="27">
        <v>123</v>
      </c>
      <c r="O539" s="34">
        <f t="shared" si="67"/>
        <v>595.31402439024384</v>
      </c>
      <c r="P539" s="35">
        <f t="shared" si="63"/>
        <v>130.97</v>
      </c>
      <c r="Q539" s="40">
        <f t="shared" si="69"/>
        <v>1190.6280487804877</v>
      </c>
      <c r="R539" s="35"/>
    </row>
    <row r="540" spans="1:18" x14ac:dyDescent="0.3">
      <c r="A540" s="32">
        <v>43707</v>
      </c>
      <c r="B540" s="33" t="s">
        <v>94</v>
      </c>
      <c r="C540" s="34">
        <v>2160</v>
      </c>
      <c r="D540" s="33">
        <v>80</v>
      </c>
      <c r="E540" s="35">
        <v>617.57000000000005</v>
      </c>
      <c r="F540" s="35">
        <v>3400</v>
      </c>
      <c r="G540" s="34">
        <v>617.66999999999996</v>
      </c>
      <c r="H540" s="34">
        <v>1240</v>
      </c>
      <c r="I540" s="34">
        <v>4017.67</v>
      </c>
      <c r="J540" s="34">
        <v>528.69000000000005</v>
      </c>
      <c r="K540" s="34">
        <v>4546.3599999999997</v>
      </c>
      <c r="L540" s="33" t="s">
        <v>14</v>
      </c>
      <c r="M540" s="34">
        <f t="shared" si="64"/>
        <v>26.963557046979865</v>
      </c>
      <c r="N540" s="27">
        <v>149</v>
      </c>
      <c r="O540" s="34">
        <f t="shared" si="67"/>
        <v>930.24271812080531</v>
      </c>
      <c r="P540" s="35">
        <f t="shared" si="63"/>
        <v>204.65</v>
      </c>
      <c r="Q540" s="40">
        <f t="shared" si="69"/>
        <v>1860.4854362416106</v>
      </c>
      <c r="R540" s="35"/>
    </row>
    <row r="541" spans="1:18" x14ac:dyDescent="0.3">
      <c r="A541" s="32">
        <v>43721</v>
      </c>
      <c r="B541" s="33" t="s">
        <v>94</v>
      </c>
      <c r="C541" s="34">
        <v>1509</v>
      </c>
      <c r="D541" s="33">
        <v>80</v>
      </c>
      <c r="E541" s="35">
        <v>371.41</v>
      </c>
      <c r="F541" s="35">
        <v>2409</v>
      </c>
      <c r="G541" s="34">
        <v>371.41</v>
      </c>
      <c r="H541" s="34">
        <v>900</v>
      </c>
      <c r="I541" s="34">
        <v>2780.41</v>
      </c>
      <c r="J541" s="34">
        <v>373.24</v>
      </c>
      <c r="K541" s="34">
        <v>3153.65</v>
      </c>
      <c r="L541" s="33" t="s">
        <v>14</v>
      </c>
      <c r="M541" s="34">
        <f t="shared" si="64"/>
        <v>25.864279069767441</v>
      </c>
      <c r="N541" s="27">
        <v>107.5</v>
      </c>
      <c r="O541" s="34">
        <f t="shared" si="67"/>
        <v>355.63383720930233</v>
      </c>
      <c r="P541" s="35">
        <f t="shared" si="63"/>
        <v>74.680000000000007</v>
      </c>
      <c r="Q541" s="40">
        <f t="shared" si="69"/>
        <v>711.26767441860466</v>
      </c>
      <c r="R541" s="35"/>
    </row>
    <row r="542" spans="1:18" x14ac:dyDescent="0.3">
      <c r="A542" s="32">
        <v>43735</v>
      </c>
      <c r="B542" s="33" t="s">
        <v>94</v>
      </c>
      <c r="C542" s="34">
        <v>3171</v>
      </c>
      <c r="D542" s="33">
        <v>80</v>
      </c>
      <c r="E542" s="35">
        <v>670.09</v>
      </c>
      <c r="F542" s="35">
        <v>3611</v>
      </c>
      <c r="G542" s="34">
        <v>670.09</v>
      </c>
      <c r="H542" s="34">
        <v>440</v>
      </c>
      <c r="I542" s="34">
        <v>4281.09</v>
      </c>
      <c r="J542" s="34">
        <v>488.04</v>
      </c>
      <c r="K542" s="34">
        <v>4769.13</v>
      </c>
      <c r="L542" s="33" t="s">
        <v>14</v>
      </c>
      <c r="M542" s="34">
        <f t="shared" si="64"/>
        <v>27.980980392156862</v>
      </c>
      <c r="N542" s="27">
        <v>153</v>
      </c>
      <c r="O542" s="34">
        <f t="shared" si="67"/>
        <v>1021.3057843137254</v>
      </c>
      <c r="P542" s="35">
        <f t="shared" si="63"/>
        <v>214.47</v>
      </c>
      <c r="Q542" s="40">
        <f t="shared" si="69"/>
        <v>2042.6115686274509</v>
      </c>
      <c r="R542" s="35"/>
    </row>
    <row r="543" spans="1:18" x14ac:dyDescent="0.3">
      <c r="A543" s="32">
        <v>43749</v>
      </c>
      <c r="B543" s="33" t="s">
        <v>94</v>
      </c>
      <c r="C543" s="34">
        <v>3749</v>
      </c>
      <c r="D543" s="33">
        <v>80</v>
      </c>
      <c r="E543" s="35">
        <v>704.4</v>
      </c>
      <c r="F543" s="35">
        <v>3749</v>
      </c>
      <c r="G543" s="34">
        <v>704.4</v>
      </c>
      <c r="H543" s="34">
        <v>0</v>
      </c>
      <c r="I543" s="34">
        <v>4453.3999999999996</v>
      </c>
      <c r="J543" s="34">
        <v>501.23</v>
      </c>
      <c r="K543" s="34">
        <v>4954.63</v>
      </c>
      <c r="L543" s="33" t="s">
        <v>14</v>
      </c>
      <c r="M543" s="34">
        <f t="shared" si="64"/>
        <v>27.921003134796237</v>
      </c>
      <c r="N543" s="27">
        <v>159.5</v>
      </c>
      <c r="O543" s="34">
        <f t="shared" si="67"/>
        <v>1109.8598746081504</v>
      </c>
      <c r="P543" s="35">
        <f t="shared" si="63"/>
        <v>221.97</v>
      </c>
      <c r="Q543" s="40">
        <f t="shared" si="69"/>
        <v>2219.7197492163009</v>
      </c>
      <c r="R543" s="35"/>
    </row>
    <row r="544" spans="1:18" x14ac:dyDescent="0.3">
      <c r="A544" s="32">
        <v>43763</v>
      </c>
      <c r="B544" s="33" t="s">
        <v>94</v>
      </c>
      <c r="C544" s="34">
        <v>2541</v>
      </c>
      <c r="D544" s="33">
        <v>80</v>
      </c>
      <c r="E544" s="35">
        <v>404.21</v>
      </c>
      <c r="F544" s="35">
        <v>2541</v>
      </c>
      <c r="G544" s="34">
        <v>404.21</v>
      </c>
      <c r="H544" s="34">
        <v>0</v>
      </c>
      <c r="I544" s="34">
        <v>2945.21</v>
      </c>
      <c r="J544" s="34">
        <v>385.85</v>
      </c>
      <c r="K544" s="34">
        <v>3331.06</v>
      </c>
      <c r="L544" s="33" t="s">
        <v>14</v>
      </c>
      <c r="M544" s="34">
        <f t="shared" si="64"/>
        <v>26.653484162895928</v>
      </c>
      <c r="N544" s="27">
        <v>110.5</v>
      </c>
      <c r="O544" s="34">
        <f t="shared" si="67"/>
        <v>406.46563348416294</v>
      </c>
      <c r="P544" s="35">
        <f t="shared" si="63"/>
        <v>81.290000000000006</v>
      </c>
      <c r="Q544" s="40">
        <f t="shared" si="69"/>
        <v>812.93126696832587</v>
      </c>
      <c r="R544" s="35"/>
    </row>
    <row r="545" spans="1:18" x14ac:dyDescent="0.3">
      <c r="A545" s="32">
        <v>43777</v>
      </c>
      <c r="B545" s="33" t="s">
        <v>94</v>
      </c>
      <c r="C545" s="34">
        <v>829</v>
      </c>
      <c r="D545" s="33">
        <v>80</v>
      </c>
      <c r="E545" s="35">
        <v>117.26</v>
      </c>
      <c r="F545" s="35">
        <v>829</v>
      </c>
      <c r="G545" s="34">
        <v>117.26</v>
      </c>
      <c r="H545" s="34">
        <v>0</v>
      </c>
      <c r="I545" s="34">
        <v>946.26</v>
      </c>
      <c r="J545" s="34">
        <v>232.92</v>
      </c>
      <c r="K545" s="34">
        <v>1179.18</v>
      </c>
      <c r="L545" s="33" t="s">
        <v>14</v>
      </c>
      <c r="M545" s="38">
        <v>16</v>
      </c>
      <c r="N545" s="27">
        <v>136.5</v>
      </c>
      <c r="O545" s="34">
        <f t="shared" si="67"/>
        <v>452</v>
      </c>
      <c r="P545" s="35">
        <f t="shared" si="63"/>
        <v>90.4</v>
      </c>
      <c r="Q545" s="40">
        <f t="shared" si="69"/>
        <v>904</v>
      </c>
      <c r="R545" s="35"/>
    </row>
    <row r="546" spans="1:18" x14ac:dyDescent="0.3">
      <c r="A546" s="32">
        <v>43791</v>
      </c>
      <c r="B546" s="33" t="s">
        <v>94</v>
      </c>
      <c r="C546" s="34">
        <v>3277</v>
      </c>
      <c r="D546" s="33">
        <v>80</v>
      </c>
      <c r="E546" s="35">
        <v>587.11</v>
      </c>
      <c r="F546" s="35">
        <v>3277</v>
      </c>
      <c r="G546" s="34">
        <v>587.11</v>
      </c>
      <c r="H546" s="34">
        <v>0</v>
      </c>
      <c r="I546" s="34">
        <v>3864.11</v>
      </c>
      <c r="J546" s="34">
        <v>456.15</v>
      </c>
      <c r="K546" s="34">
        <v>4320.26</v>
      </c>
      <c r="L546" s="33" t="s">
        <v>14</v>
      </c>
      <c r="M546" s="34">
        <f t="shared" si="64"/>
        <v>27.502562277580072</v>
      </c>
      <c r="N546" s="27">
        <v>140.5</v>
      </c>
      <c r="O546" s="34">
        <f t="shared" si="67"/>
        <v>831.95250889679721</v>
      </c>
      <c r="P546" s="35">
        <f t="shared" si="63"/>
        <v>158.07</v>
      </c>
      <c r="Q546" s="40">
        <f t="shared" si="69"/>
        <v>1663.9050177935944</v>
      </c>
      <c r="R546" s="35"/>
    </row>
    <row r="547" spans="1:18" x14ac:dyDescent="0.3">
      <c r="A547" s="32">
        <v>43805</v>
      </c>
      <c r="B547" s="33" t="s">
        <v>94</v>
      </c>
      <c r="C547" s="34">
        <v>2438</v>
      </c>
      <c r="D547" s="36">
        <v>73</v>
      </c>
      <c r="E547" s="35">
        <v>378.62</v>
      </c>
      <c r="F547" s="35">
        <v>2438</v>
      </c>
      <c r="G547" s="34">
        <v>378.62</v>
      </c>
      <c r="H547" s="34">
        <v>0</v>
      </c>
      <c r="I547" s="34">
        <v>2816.62</v>
      </c>
      <c r="J547" s="34">
        <v>376.01</v>
      </c>
      <c r="K547" s="34">
        <v>3192.63</v>
      </c>
      <c r="L547" s="33" t="s">
        <v>14</v>
      </c>
      <c r="M547" s="34">
        <f t="shared" si="64"/>
        <v>26.57188679245283</v>
      </c>
      <c r="N547" s="27">
        <v>106</v>
      </c>
      <c r="O547" s="38">
        <f>(M547*0.5)*33</f>
        <v>438.43613207547168</v>
      </c>
      <c r="P547" s="35">
        <f t="shared" si="63"/>
        <v>83.3</v>
      </c>
      <c r="Q547" s="40">
        <f t="shared" si="69"/>
        <v>876.87226415094335</v>
      </c>
      <c r="R547" s="35"/>
    </row>
    <row r="548" spans="1:18" x14ac:dyDescent="0.3">
      <c r="A548" s="32">
        <v>43819</v>
      </c>
      <c r="B548" s="33" t="s">
        <v>94</v>
      </c>
      <c r="C548" s="34">
        <v>3500</v>
      </c>
      <c r="D548" s="33">
        <v>80</v>
      </c>
      <c r="E548" s="35">
        <v>489.95</v>
      </c>
      <c r="F548" s="49">
        <v>2272</v>
      </c>
      <c r="G548" s="34">
        <v>489.95</v>
      </c>
      <c r="H548" s="34">
        <v>0</v>
      </c>
      <c r="I548" s="34">
        <v>3989.95</v>
      </c>
      <c r="J548" s="34">
        <v>418.81</v>
      </c>
      <c r="K548" s="34">
        <v>4408.76</v>
      </c>
      <c r="L548" s="33" t="s">
        <v>14</v>
      </c>
      <c r="M548" s="34">
        <f t="shared" si="64"/>
        <v>23.30759493670886</v>
      </c>
      <c r="N548" s="27">
        <v>118.5</v>
      </c>
      <c r="O548" s="34">
        <f t="shared" si="67"/>
        <v>448.67120253164558</v>
      </c>
      <c r="P548" s="35">
        <f t="shared" si="63"/>
        <v>80.760000000000005</v>
      </c>
      <c r="Q548" s="40">
        <f t="shared" si="69"/>
        <v>897.34240506329115</v>
      </c>
      <c r="R548" s="35"/>
    </row>
    <row r="549" spans="1:18" x14ac:dyDescent="0.3">
      <c r="A549" s="32">
        <v>43833</v>
      </c>
      <c r="B549" s="33" t="s">
        <v>94</v>
      </c>
      <c r="C549" s="34">
        <v>1937</v>
      </c>
      <c r="D549" s="33">
        <v>80</v>
      </c>
      <c r="E549" s="35">
        <v>410.12</v>
      </c>
      <c r="F549" s="35">
        <v>2587</v>
      </c>
      <c r="G549" s="34">
        <v>410.12</v>
      </c>
      <c r="H549" s="34">
        <v>650</v>
      </c>
      <c r="I549" s="34">
        <v>2997.12</v>
      </c>
      <c r="J549" s="34">
        <v>456.95</v>
      </c>
      <c r="K549" s="34">
        <v>3454.07</v>
      </c>
      <c r="L549" s="33" t="s">
        <v>14</v>
      </c>
      <c r="M549" s="34">
        <f t="shared" si="64"/>
        <v>26.641066666666667</v>
      </c>
      <c r="N549" s="27">
        <v>112.5</v>
      </c>
      <c r="O549" s="34">
        <f t="shared" si="67"/>
        <v>432.91733333333332</v>
      </c>
      <c r="P549" s="35">
        <f t="shared" si="63"/>
        <v>77.930000000000007</v>
      </c>
      <c r="Q549" s="40">
        <f t="shared" si="69"/>
        <v>865.83466666666664</v>
      </c>
      <c r="R549" s="35"/>
    </row>
    <row r="550" spans="1:18" x14ac:dyDescent="0.3">
      <c r="A550" s="32">
        <v>43847</v>
      </c>
      <c r="B550" s="33" t="s">
        <v>94</v>
      </c>
      <c r="C550" s="34">
        <v>2633</v>
      </c>
      <c r="D550" s="33">
        <v>80</v>
      </c>
      <c r="E550" s="40"/>
      <c r="F550" s="35">
        <v>2633</v>
      </c>
      <c r="G550" s="34">
        <v>337.66</v>
      </c>
      <c r="H550" s="34">
        <v>0</v>
      </c>
      <c r="I550" s="34">
        <v>2970.66</v>
      </c>
      <c r="J550" s="34">
        <v>420.96</v>
      </c>
      <c r="K550" s="34">
        <v>3391.62</v>
      </c>
      <c r="L550" s="33" t="s">
        <v>14</v>
      </c>
      <c r="M550" s="34">
        <f t="shared" si="64"/>
        <v>22.995633187772924</v>
      </c>
      <c r="N550" s="27">
        <v>114.5</v>
      </c>
      <c r="O550" s="34">
        <f t="shared" si="67"/>
        <v>396.67467248908292</v>
      </c>
      <c r="P550" s="35">
        <f t="shared" si="63"/>
        <v>67.430000000000007</v>
      </c>
      <c r="Q550" s="40">
        <f t="shared" si="69"/>
        <v>793.34934497816585</v>
      </c>
      <c r="R550" s="35"/>
    </row>
    <row r="551" spans="1:18" x14ac:dyDescent="0.3">
      <c r="A551" s="32">
        <v>43861</v>
      </c>
      <c r="B551" s="33" t="s">
        <v>94</v>
      </c>
      <c r="C551" s="34">
        <v>3307</v>
      </c>
      <c r="D551" s="33">
        <v>80</v>
      </c>
      <c r="E551" s="40"/>
      <c r="F551" s="35">
        <v>3307</v>
      </c>
      <c r="G551" s="34">
        <v>471.8</v>
      </c>
      <c r="H551" s="34">
        <v>0</v>
      </c>
      <c r="I551" s="34">
        <v>3778.8</v>
      </c>
      <c r="J551" s="34">
        <v>475.97</v>
      </c>
      <c r="K551" s="34">
        <v>4254.7700000000004</v>
      </c>
      <c r="L551" s="33" t="s">
        <v>14</v>
      </c>
      <c r="M551" s="34">
        <f t="shared" si="64"/>
        <v>23.537366548042705</v>
      </c>
      <c r="N551" s="27">
        <v>140.5</v>
      </c>
      <c r="O551" s="34">
        <f t="shared" si="67"/>
        <v>712.00533807829186</v>
      </c>
      <c r="P551" s="35">
        <f t="shared" si="63"/>
        <v>121.04</v>
      </c>
      <c r="Q551" s="40">
        <f t="shared" si="69"/>
        <v>1424.0106761565837</v>
      </c>
      <c r="R551" s="35"/>
    </row>
    <row r="552" spans="1:18" x14ac:dyDescent="0.3">
      <c r="A552" s="32">
        <v>43875</v>
      </c>
      <c r="B552" s="33" t="s">
        <v>94</v>
      </c>
      <c r="C552" s="34">
        <v>3197</v>
      </c>
      <c r="D552" s="33">
        <v>80</v>
      </c>
      <c r="E552" s="40"/>
      <c r="F552" s="35">
        <v>3197</v>
      </c>
      <c r="G552" s="34">
        <v>441.09</v>
      </c>
      <c r="H552" s="34">
        <v>0</v>
      </c>
      <c r="I552" s="34">
        <v>3638.09</v>
      </c>
      <c r="J552" s="34">
        <v>409.42</v>
      </c>
      <c r="K552" s="34">
        <v>4047.51</v>
      </c>
      <c r="L552" s="33" t="s">
        <v>14</v>
      </c>
      <c r="M552" s="34">
        <f t="shared" si="64"/>
        <v>23</v>
      </c>
      <c r="N552" s="27">
        <v>139</v>
      </c>
      <c r="O552" s="34">
        <f t="shared" si="67"/>
        <v>678.5</v>
      </c>
      <c r="P552" s="35">
        <f t="shared" ref="P552:P614" si="70">ROUND(((ROUNDDOWN(($W$1-A552)/30,0))/100)*O552,2)</f>
        <v>108.56</v>
      </c>
      <c r="Q552" s="40">
        <f t="shared" si="69"/>
        <v>1357</v>
      </c>
      <c r="R552" s="35"/>
    </row>
    <row r="553" spans="1:18" x14ac:dyDescent="0.3">
      <c r="A553" s="32">
        <v>43889</v>
      </c>
      <c r="B553" s="33" t="s">
        <v>94</v>
      </c>
      <c r="C553" s="34">
        <v>3312</v>
      </c>
      <c r="D553" s="33">
        <v>80</v>
      </c>
      <c r="E553" s="40"/>
      <c r="F553" s="35">
        <v>3312</v>
      </c>
      <c r="G553" s="34">
        <v>463.98</v>
      </c>
      <c r="H553" s="34">
        <v>0</v>
      </c>
      <c r="I553" s="34">
        <v>3775.98</v>
      </c>
      <c r="J553" s="34">
        <v>420.11</v>
      </c>
      <c r="K553" s="34">
        <v>4196.09</v>
      </c>
      <c r="L553" s="33" t="s">
        <v>14</v>
      </c>
      <c r="M553" s="34">
        <f t="shared" si="64"/>
        <v>23</v>
      </c>
      <c r="N553" s="27">
        <v>144</v>
      </c>
      <c r="O553" s="34">
        <f t="shared" si="67"/>
        <v>736</v>
      </c>
      <c r="P553" s="35">
        <f t="shared" si="70"/>
        <v>117.76</v>
      </c>
      <c r="Q553" s="40">
        <f t="shared" si="69"/>
        <v>1472</v>
      </c>
      <c r="R553" s="35"/>
    </row>
    <row r="554" spans="1:18" x14ac:dyDescent="0.3">
      <c r="A554" s="32">
        <v>43903</v>
      </c>
      <c r="B554" s="33" t="s">
        <v>94</v>
      </c>
      <c r="C554" s="34">
        <v>2403</v>
      </c>
      <c r="D554" s="33">
        <v>80</v>
      </c>
      <c r="E554" s="40"/>
      <c r="F554" s="35">
        <v>2403</v>
      </c>
      <c r="G554" s="34">
        <v>285.8</v>
      </c>
      <c r="H554" s="34">
        <v>0</v>
      </c>
      <c r="I554" s="34">
        <v>2688.8</v>
      </c>
      <c r="J554" s="34">
        <v>335.66</v>
      </c>
      <c r="K554" s="34">
        <v>3024.46</v>
      </c>
      <c r="L554" s="33" t="s">
        <v>14</v>
      </c>
      <c r="M554" s="34">
        <f t="shared" si="64"/>
        <v>22.995215311004785</v>
      </c>
      <c r="N554" s="27">
        <v>104.5</v>
      </c>
      <c r="O554" s="34">
        <f t="shared" si="67"/>
        <v>281.69138755980862</v>
      </c>
      <c r="P554" s="35">
        <f t="shared" si="70"/>
        <v>42.25</v>
      </c>
      <c r="Q554" s="40">
        <f t="shared" si="69"/>
        <v>563.38277511961724</v>
      </c>
      <c r="R554" s="35"/>
    </row>
    <row r="555" spans="1:18" x14ac:dyDescent="0.3">
      <c r="A555" s="32">
        <v>43917</v>
      </c>
      <c r="B555" s="33" t="s">
        <v>94</v>
      </c>
      <c r="C555" s="34">
        <v>2658.55</v>
      </c>
      <c r="D555" s="33">
        <v>96</v>
      </c>
      <c r="E555" s="35"/>
      <c r="F555" s="49">
        <v>2868</v>
      </c>
      <c r="G555" s="34">
        <v>401.45</v>
      </c>
      <c r="H555" s="34">
        <v>0</v>
      </c>
      <c r="I555" s="34">
        <v>3060</v>
      </c>
      <c r="J555" s="34">
        <v>410.24</v>
      </c>
      <c r="K555" s="34">
        <v>3470.24</v>
      </c>
      <c r="L555" s="33" t="s">
        <v>14</v>
      </c>
      <c r="M555" s="34">
        <f t="shared" si="64"/>
        <v>32.96551724137931</v>
      </c>
      <c r="N555" s="27">
        <v>87</v>
      </c>
      <c r="O555" s="38">
        <v>0</v>
      </c>
      <c r="P555" s="35">
        <f t="shared" si="70"/>
        <v>0</v>
      </c>
      <c r="Q555" s="40">
        <f t="shared" si="69"/>
        <v>0</v>
      </c>
      <c r="R555" s="35"/>
    </row>
    <row r="556" spans="1:18" x14ac:dyDescent="0.3">
      <c r="A556" s="29">
        <v>43931</v>
      </c>
      <c r="B556" s="33" t="s">
        <v>94</v>
      </c>
      <c r="C556" s="34">
        <v>1033.07</v>
      </c>
      <c r="D556" s="30">
        <v>28.5</v>
      </c>
      <c r="E556" s="35"/>
      <c r="F556" s="35">
        <v>1140</v>
      </c>
      <c r="G556" s="34">
        <v>106.93</v>
      </c>
      <c r="H556" s="34">
        <v>0</v>
      </c>
      <c r="I556" s="34">
        <v>1140</v>
      </c>
      <c r="J556" s="34">
        <v>162.12</v>
      </c>
      <c r="K556" s="34">
        <v>1302.1199999999999</v>
      </c>
      <c r="L556" s="33" t="s">
        <v>14</v>
      </c>
      <c r="M556" s="34">
        <f t="shared" si="64"/>
        <v>40</v>
      </c>
      <c r="N556" s="27">
        <v>28.5</v>
      </c>
      <c r="O556" s="34">
        <v>0</v>
      </c>
      <c r="P556" s="35">
        <f t="shared" si="70"/>
        <v>0</v>
      </c>
      <c r="Q556" s="40">
        <f t="shared" si="69"/>
        <v>0</v>
      </c>
      <c r="R556" s="35"/>
    </row>
    <row r="557" spans="1:18" hidden="1" x14ac:dyDescent="0.3">
      <c r="A557" s="37" t="s">
        <v>77</v>
      </c>
      <c r="B557" s="33" t="s">
        <v>94</v>
      </c>
      <c r="C557" s="34">
        <v>500</v>
      </c>
      <c r="D557" s="36">
        <v>19.36</v>
      </c>
      <c r="E557" s="33"/>
      <c r="F557" s="33">
        <v>551.76</v>
      </c>
      <c r="G557" s="34">
        <v>51.76</v>
      </c>
      <c r="H557" s="34">
        <v>0</v>
      </c>
      <c r="I557" s="34">
        <v>551.76</v>
      </c>
      <c r="J557" s="34">
        <v>78.28</v>
      </c>
      <c r="K557" s="34">
        <v>630.04</v>
      </c>
      <c r="L557" s="33" t="s">
        <v>14</v>
      </c>
      <c r="M557" s="34" t="e">
        <f t="shared" ref="M557:M623" si="71">(E557+F557)/N557</f>
        <v>#DIV/0!</v>
      </c>
      <c r="N557" s="27"/>
      <c r="O557" s="34" t="e">
        <f t="shared" si="67"/>
        <v>#DIV/0!</v>
      </c>
      <c r="P557" s="35" t="e">
        <f t="shared" si="70"/>
        <v>#VALUE!</v>
      </c>
      <c r="Q557" s="34" t="e">
        <f t="shared" si="68"/>
        <v>#DIV/0!</v>
      </c>
      <c r="R557" s="35"/>
    </row>
    <row r="558" spans="1:18" hidden="1" x14ac:dyDescent="0.3">
      <c r="A558" s="37" t="s">
        <v>77</v>
      </c>
      <c r="B558" s="33" t="s">
        <v>94</v>
      </c>
      <c r="C558" s="34">
        <v>700.03</v>
      </c>
      <c r="D558" s="36">
        <v>27.11</v>
      </c>
      <c r="E558" s="33"/>
      <c r="F558" s="33">
        <v>772.49</v>
      </c>
      <c r="G558" s="34">
        <v>72.459999999999994</v>
      </c>
      <c r="H558" s="34">
        <v>0</v>
      </c>
      <c r="I558" s="34">
        <v>772.49</v>
      </c>
      <c r="J558" s="34">
        <v>109.6</v>
      </c>
      <c r="K558" s="34">
        <v>882.09</v>
      </c>
      <c r="L558" s="33" t="s">
        <v>14</v>
      </c>
      <c r="M558" s="34" t="e">
        <f t="shared" si="71"/>
        <v>#DIV/0!</v>
      </c>
      <c r="N558" s="27"/>
      <c r="O558" s="34" t="e">
        <f t="shared" si="67"/>
        <v>#DIV/0!</v>
      </c>
      <c r="P558" s="35" t="e">
        <f t="shared" si="70"/>
        <v>#VALUE!</v>
      </c>
      <c r="Q558" s="34" t="e">
        <f t="shared" si="68"/>
        <v>#DIV/0!</v>
      </c>
      <c r="R558" s="35"/>
    </row>
    <row r="559" spans="1:18" x14ac:dyDescent="0.3">
      <c r="A559" s="32">
        <v>43973</v>
      </c>
      <c r="B559" s="33" t="s">
        <v>94</v>
      </c>
      <c r="C559" s="34">
        <v>1786.35</v>
      </c>
      <c r="D559" s="33">
        <v>80</v>
      </c>
      <c r="E559" s="35"/>
      <c r="F559" s="35">
        <v>2000</v>
      </c>
      <c r="G559" s="34">
        <v>213.65</v>
      </c>
      <c r="H559" s="34">
        <v>0</v>
      </c>
      <c r="I559" s="34">
        <v>2000</v>
      </c>
      <c r="J559" s="34">
        <v>301.69</v>
      </c>
      <c r="K559" s="34">
        <v>2301.69</v>
      </c>
      <c r="L559" s="33" t="s">
        <v>14</v>
      </c>
      <c r="M559" s="34">
        <f t="shared" si="71"/>
        <v>23.80952380952381</v>
      </c>
      <c r="N559" s="27">
        <v>84</v>
      </c>
      <c r="O559" s="34">
        <v>0</v>
      </c>
      <c r="P559" s="35">
        <f t="shared" si="70"/>
        <v>0</v>
      </c>
      <c r="Q559" s="40">
        <f t="shared" ref="Q559:Q572" si="72">O559*2</f>
        <v>0</v>
      </c>
      <c r="R559" s="35"/>
    </row>
    <row r="560" spans="1:18" x14ac:dyDescent="0.3">
      <c r="A560" s="32">
        <v>43987</v>
      </c>
      <c r="B560" s="33" t="s">
        <v>94</v>
      </c>
      <c r="C560" s="34">
        <v>2456.2600000000002</v>
      </c>
      <c r="D560" s="33">
        <v>86.5</v>
      </c>
      <c r="E560" s="35"/>
      <c r="F560" s="49">
        <v>2342.88</v>
      </c>
      <c r="G560" s="34">
        <v>316.62</v>
      </c>
      <c r="H560" s="34">
        <v>0</v>
      </c>
      <c r="I560" s="34">
        <v>2772.88</v>
      </c>
      <c r="J560" s="34">
        <v>356.97</v>
      </c>
      <c r="K560" s="34">
        <v>3129.85</v>
      </c>
      <c r="L560" s="33" t="s">
        <v>14</v>
      </c>
      <c r="M560" s="34">
        <f t="shared" si="71"/>
        <v>27.085317919075145</v>
      </c>
      <c r="N560" s="27">
        <v>86.5</v>
      </c>
      <c r="O560" s="38">
        <v>0</v>
      </c>
      <c r="P560" s="35">
        <f t="shared" si="70"/>
        <v>0</v>
      </c>
      <c r="Q560" s="40">
        <f t="shared" si="72"/>
        <v>0</v>
      </c>
      <c r="R560" s="35"/>
    </row>
    <row r="561" spans="1:18" x14ac:dyDescent="0.3">
      <c r="A561" s="29">
        <v>43995</v>
      </c>
      <c r="B561" s="33" t="s">
        <v>94</v>
      </c>
      <c r="C561" s="34">
        <v>2634.57</v>
      </c>
      <c r="D561" s="30">
        <v>107</v>
      </c>
      <c r="E561" s="35"/>
      <c r="F561" s="49">
        <v>3434.25</v>
      </c>
      <c r="G561" s="34"/>
      <c r="H561" s="34"/>
      <c r="I561" s="34"/>
      <c r="J561" s="34"/>
      <c r="K561" s="34"/>
      <c r="L561" s="33"/>
      <c r="M561" s="38">
        <v>26.19</v>
      </c>
      <c r="N561" s="27">
        <v>107</v>
      </c>
      <c r="O561" s="34">
        <v>0</v>
      </c>
      <c r="P561" s="35">
        <f t="shared" si="70"/>
        <v>0</v>
      </c>
      <c r="Q561" s="40">
        <f t="shared" si="72"/>
        <v>0</v>
      </c>
      <c r="R561" s="35"/>
    </row>
    <row r="562" spans="1:18" x14ac:dyDescent="0.3">
      <c r="A562" s="29">
        <v>44009</v>
      </c>
      <c r="B562" s="33" t="s">
        <v>94</v>
      </c>
      <c r="C562" s="34">
        <v>3002.23</v>
      </c>
      <c r="D562" s="30">
        <v>109.5</v>
      </c>
      <c r="E562" s="35"/>
      <c r="F562" s="40">
        <v>3519.75</v>
      </c>
      <c r="G562" s="34"/>
      <c r="H562" s="34"/>
      <c r="I562" s="34"/>
      <c r="J562" s="34"/>
      <c r="K562" s="34"/>
      <c r="L562" s="33"/>
      <c r="M562" s="38">
        <v>26.19</v>
      </c>
      <c r="N562" s="27">
        <v>109.5</v>
      </c>
      <c r="O562" s="34">
        <f>(M562*1.5)*0.5</f>
        <v>19.642500000000002</v>
      </c>
      <c r="P562" s="35">
        <f t="shared" si="70"/>
        <v>2.36</v>
      </c>
      <c r="Q562" s="40">
        <f t="shared" si="72"/>
        <v>39.285000000000004</v>
      </c>
      <c r="R562" s="35"/>
    </row>
    <row r="563" spans="1:18" x14ac:dyDescent="0.3">
      <c r="A563" s="29">
        <v>44023</v>
      </c>
      <c r="B563" s="33" t="s">
        <v>94</v>
      </c>
      <c r="C563" s="34">
        <v>2583.85</v>
      </c>
      <c r="D563" s="30">
        <v>106</v>
      </c>
      <c r="E563" s="35"/>
      <c r="F563" s="40">
        <v>3370.13</v>
      </c>
      <c r="G563" s="34"/>
      <c r="H563" s="34"/>
      <c r="I563" s="34"/>
      <c r="J563" s="34"/>
      <c r="K563" s="34"/>
      <c r="L563" s="33"/>
      <c r="M563" s="38">
        <v>26.19</v>
      </c>
      <c r="N563" s="27">
        <v>106</v>
      </c>
      <c r="O563" s="34">
        <v>0</v>
      </c>
      <c r="P563" s="35">
        <f t="shared" si="70"/>
        <v>0</v>
      </c>
      <c r="Q563" s="40">
        <f t="shared" si="72"/>
        <v>0</v>
      </c>
      <c r="R563" s="35"/>
    </row>
    <row r="564" spans="1:18" x14ac:dyDescent="0.3">
      <c r="A564" s="32">
        <v>43819</v>
      </c>
      <c r="B564" s="33" t="s">
        <v>48</v>
      </c>
      <c r="C564" s="34">
        <v>1760</v>
      </c>
      <c r="D564" s="33">
        <v>80</v>
      </c>
      <c r="E564" s="35">
        <v>273.13</v>
      </c>
      <c r="F564" s="35">
        <v>1810</v>
      </c>
      <c r="G564" s="34">
        <v>273.13</v>
      </c>
      <c r="H564" s="34">
        <v>50</v>
      </c>
      <c r="I564" s="34">
        <v>2083.13</v>
      </c>
      <c r="J564" s="34">
        <v>366.57</v>
      </c>
      <c r="K564" s="34">
        <v>2449.6999999999998</v>
      </c>
      <c r="L564" s="33" t="s">
        <v>14</v>
      </c>
      <c r="M564" s="34">
        <f t="shared" si="71"/>
        <v>23.018011049723757</v>
      </c>
      <c r="N564" s="27">
        <v>90.5</v>
      </c>
      <c r="O564" s="34">
        <f t="shared" si="67"/>
        <v>120.84455801104973</v>
      </c>
      <c r="P564" s="35">
        <f t="shared" si="70"/>
        <v>21.75</v>
      </c>
      <c r="Q564" s="40">
        <f t="shared" si="72"/>
        <v>241.68911602209945</v>
      </c>
      <c r="R564" s="35">
        <v>556.29999999999995</v>
      </c>
    </row>
    <row r="565" spans="1:18" x14ac:dyDescent="0.3">
      <c r="A565" s="32">
        <v>43833</v>
      </c>
      <c r="B565" s="33" t="s">
        <v>48</v>
      </c>
      <c r="C565" s="34">
        <v>1740</v>
      </c>
      <c r="D565" s="36">
        <v>49.5</v>
      </c>
      <c r="E565" s="35">
        <v>254.58</v>
      </c>
      <c r="F565" s="35">
        <v>1740</v>
      </c>
      <c r="G565" s="34">
        <v>254.58</v>
      </c>
      <c r="H565" s="34">
        <v>0</v>
      </c>
      <c r="I565" s="34">
        <v>1994.58</v>
      </c>
      <c r="J565" s="34">
        <v>357.8</v>
      </c>
      <c r="K565" s="34">
        <v>2352.38</v>
      </c>
      <c r="L565" s="33" t="s">
        <v>14</v>
      </c>
      <c r="M565" s="34">
        <f t="shared" si="71"/>
        <v>22.926206896551722</v>
      </c>
      <c r="N565" s="27">
        <v>87</v>
      </c>
      <c r="O565" s="38">
        <f>(M565*0.5)*9.5</f>
        <v>108.89948275862068</v>
      </c>
      <c r="P565" s="35">
        <f t="shared" si="70"/>
        <v>19.600000000000001</v>
      </c>
      <c r="Q565" s="40">
        <f t="shared" si="72"/>
        <v>217.79896551724136</v>
      </c>
      <c r="R565" s="35"/>
    </row>
    <row r="566" spans="1:18" x14ac:dyDescent="0.3">
      <c r="A566" s="29">
        <v>43847</v>
      </c>
      <c r="B566" s="33" t="s">
        <v>48</v>
      </c>
      <c r="C566" s="34">
        <v>1820</v>
      </c>
      <c r="D566" s="36">
        <v>51.5</v>
      </c>
      <c r="E566" s="40"/>
      <c r="F566" s="35">
        <v>1920</v>
      </c>
      <c r="G566" s="34">
        <v>241.23</v>
      </c>
      <c r="H566" s="34">
        <v>100</v>
      </c>
      <c r="I566" s="34">
        <v>2161.23</v>
      </c>
      <c r="J566" s="34">
        <v>350.43</v>
      </c>
      <c r="K566" s="34">
        <v>2511.66</v>
      </c>
      <c r="L566" s="33" t="s">
        <v>14</v>
      </c>
      <c r="M566" s="34">
        <f t="shared" si="71"/>
        <v>22.994011976047904</v>
      </c>
      <c r="N566" s="27">
        <v>83.5</v>
      </c>
      <c r="O566" s="38">
        <f>(M566*0.5)*11.5</f>
        <v>132.21556886227546</v>
      </c>
      <c r="P566" s="35">
        <f t="shared" si="70"/>
        <v>22.48</v>
      </c>
      <c r="Q566" s="40">
        <f t="shared" si="72"/>
        <v>264.43113772455092</v>
      </c>
      <c r="R566" s="35"/>
    </row>
    <row r="567" spans="1:18" x14ac:dyDescent="0.3">
      <c r="A567" s="29">
        <v>43861</v>
      </c>
      <c r="B567" s="33" t="s">
        <v>48</v>
      </c>
      <c r="C567" s="34">
        <v>1891</v>
      </c>
      <c r="D567" s="36">
        <v>52</v>
      </c>
      <c r="E567" s="40"/>
      <c r="F567" s="35">
        <v>1921</v>
      </c>
      <c r="G567" s="34">
        <v>241.42</v>
      </c>
      <c r="H567" s="34">
        <v>30</v>
      </c>
      <c r="I567" s="34">
        <v>2162.42</v>
      </c>
      <c r="J567" s="34">
        <v>350.53</v>
      </c>
      <c r="K567" s="34">
        <v>2512.9499999999998</v>
      </c>
      <c r="L567" s="33" t="s">
        <v>14</v>
      </c>
      <c r="M567" s="34">
        <f t="shared" si="71"/>
        <v>20.994535519125684</v>
      </c>
      <c r="N567" s="27">
        <v>91.5</v>
      </c>
      <c r="O567" s="38">
        <f>(M567*0.5)*12</f>
        <v>125.9672131147541</v>
      </c>
      <c r="P567" s="35">
        <f t="shared" si="70"/>
        <v>21.41</v>
      </c>
      <c r="Q567" s="40">
        <f t="shared" si="72"/>
        <v>251.9344262295082</v>
      </c>
      <c r="R567" s="35"/>
    </row>
    <row r="568" spans="1:18" x14ac:dyDescent="0.3">
      <c r="A568" s="29">
        <v>43875</v>
      </c>
      <c r="B568" s="33" t="s">
        <v>48</v>
      </c>
      <c r="C568" s="34">
        <v>2045</v>
      </c>
      <c r="D568" s="33">
        <v>80</v>
      </c>
      <c r="E568" s="40"/>
      <c r="F568" s="35">
        <v>2095</v>
      </c>
      <c r="G568" s="34">
        <v>263.73</v>
      </c>
      <c r="H568" s="34">
        <v>50</v>
      </c>
      <c r="I568" s="34">
        <v>2358.73</v>
      </c>
      <c r="J568" s="34">
        <v>314.02999999999997</v>
      </c>
      <c r="K568" s="34">
        <v>2672.76</v>
      </c>
      <c r="L568" s="33" t="s">
        <v>14</v>
      </c>
      <c r="M568" s="34">
        <f t="shared" si="71"/>
        <v>22.05263157894737</v>
      </c>
      <c r="N568" s="27">
        <v>95</v>
      </c>
      <c r="O568" s="34">
        <f t="shared" si="67"/>
        <v>165.39473684210526</v>
      </c>
      <c r="P568" s="35">
        <f t="shared" si="70"/>
        <v>26.46</v>
      </c>
      <c r="Q568" s="40">
        <f t="shared" si="72"/>
        <v>330.78947368421052</v>
      </c>
      <c r="R568" s="35"/>
    </row>
    <row r="569" spans="1:18" x14ac:dyDescent="0.3">
      <c r="A569" s="29">
        <v>43889</v>
      </c>
      <c r="B569" s="33" t="s">
        <v>48</v>
      </c>
      <c r="C569" s="34">
        <v>2071</v>
      </c>
      <c r="D569" s="33">
        <v>80</v>
      </c>
      <c r="E569" s="40"/>
      <c r="F569" s="35">
        <v>2121</v>
      </c>
      <c r="G569" s="34">
        <v>268.39999999999998</v>
      </c>
      <c r="H569" s="34">
        <v>50</v>
      </c>
      <c r="I569" s="34">
        <v>2389.4</v>
      </c>
      <c r="J569" s="34">
        <v>309.45999999999998</v>
      </c>
      <c r="K569" s="34">
        <v>2698.86</v>
      </c>
      <c r="L569" s="33" t="s">
        <v>14</v>
      </c>
      <c r="M569" s="34">
        <f t="shared" si="71"/>
        <v>21</v>
      </c>
      <c r="N569" s="27">
        <v>101</v>
      </c>
      <c r="O569" s="34">
        <f t="shared" si="67"/>
        <v>220.5</v>
      </c>
      <c r="P569" s="35">
        <f t="shared" si="70"/>
        <v>35.28</v>
      </c>
      <c r="Q569" s="40">
        <f t="shared" si="72"/>
        <v>441</v>
      </c>
      <c r="R569" s="35"/>
    </row>
    <row r="570" spans="1:18" x14ac:dyDescent="0.3">
      <c r="A570" s="32">
        <v>43903</v>
      </c>
      <c r="B570" s="33" t="s">
        <v>48</v>
      </c>
      <c r="C570" s="34">
        <v>1934</v>
      </c>
      <c r="D570" s="30">
        <v>45</v>
      </c>
      <c r="E570" s="40">
        <v>2000</v>
      </c>
      <c r="F570" s="35">
        <v>1984</v>
      </c>
      <c r="G570" s="34">
        <v>243.87</v>
      </c>
      <c r="H570" s="34">
        <v>50</v>
      </c>
      <c r="I570" s="34">
        <v>2227.87</v>
      </c>
      <c r="J570" s="34">
        <v>296.74</v>
      </c>
      <c r="K570" s="34">
        <v>2524.61</v>
      </c>
      <c r="L570" s="33" t="s">
        <v>14</v>
      </c>
      <c r="M570" s="34">
        <f t="shared" si="71"/>
        <v>42.158730158730158</v>
      </c>
      <c r="N570" s="27">
        <v>94.5</v>
      </c>
      <c r="O570" s="34">
        <f t="shared" si="67"/>
        <v>305.65079365079367</v>
      </c>
      <c r="P570" s="35">
        <f t="shared" si="70"/>
        <v>45.85</v>
      </c>
      <c r="Q570" s="40">
        <f t="shared" si="72"/>
        <v>611.30158730158735</v>
      </c>
      <c r="R570" s="35"/>
    </row>
    <row r="571" spans="1:18" x14ac:dyDescent="0.3">
      <c r="A571" s="32">
        <v>43917</v>
      </c>
      <c r="B571" s="33" t="s">
        <v>48</v>
      </c>
      <c r="C571" s="34">
        <v>1839.73</v>
      </c>
      <c r="D571" s="36">
        <v>45</v>
      </c>
      <c r="E571" s="35"/>
      <c r="F571" s="49">
        <v>2150</v>
      </c>
      <c r="G571" s="34">
        <v>275.27</v>
      </c>
      <c r="H571" s="34">
        <v>35</v>
      </c>
      <c r="I571" s="34">
        <v>2150</v>
      </c>
      <c r="J571" s="34">
        <v>317.77</v>
      </c>
      <c r="K571" s="34">
        <v>2467.77</v>
      </c>
      <c r="L571" s="33" t="s">
        <v>14</v>
      </c>
      <c r="M571" s="34">
        <f t="shared" si="71"/>
        <v>25.595238095238095</v>
      </c>
      <c r="N571" s="27">
        <v>84</v>
      </c>
      <c r="O571" s="38">
        <f>(M571*0.5)*1</f>
        <v>12.797619047619047</v>
      </c>
      <c r="P571" s="35">
        <f t="shared" si="70"/>
        <v>1.92</v>
      </c>
      <c r="Q571" s="40">
        <f t="shared" si="72"/>
        <v>25.595238095238095</v>
      </c>
      <c r="R571" s="35"/>
    </row>
    <row r="572" spans="1:18" x14ac:dyDescent="0.3">
      <c r="A572" s="32">
        <v>43931</v>
      </c>
      <c r="B572" s="33" t="s">
        <v>48</v>
      </c>
      <c r="C572" s="34">
        <v>904.13</v>
      </c>
      <c r="D572" s="30">
        <v>24</v>
      </c>
      <c r="E572" s="35"/>
      <c r="F572" s="35">
        <v>1000</v>
      </c>
      <c r="G572" s="34">
        <v>95.87</v>
      </c>
      <c r="H572" s="34">
        <v>0</v>
      </c>
      <c r="I572" s="34">
        <v>1000</v>
      </c>
      <c r="J572" s="34">
        <v>149.11000000000001</v>
      </c>
      <c r="K572" s="34">
        <v>1149.1099999999999</v>
      </c>
      <c r="L572" s="33" t="s">
        <v>14</v>
      </c>
      <c r="M572" s="34">
        <f t="shared" si="71"/>
        <v>41.666666666666664</v>
      </c>
      <c r="N572" s="27">
        <v>24</v>
      </c>
      <c r="O572" s="34">
        <v>0</v>
      </c>
      <c r="P572" s="35">
        <f>ROUND(((ROUNDDOWN(($W$1-A572)/30,0))/100)*O572,2)</f>
        <v>0</v>
      </c>
      <c r="Q572" s="40">
        <f t="shared" si="72"/>
        <v>0</v>
      </c>
      <c r="R572" s="35"/>
    </row>
    <row r="573" spans="1:18" hidden="1" x14ac:dyDescent="0.3">
      <c r="A573" s="37" t="s">
        <v>77</v>
      </c>
      <c r="B573" s="33" t="s">
        <v>48</v>
      </c>
      <c r="C573" s="34">
        <v>500.22</v>
      </c>
      <c r="D573" s="36">
        <v>22.13</v>
      </c>
      <c r="E573" s="33"/>
      <c r="F573" s="33">
        <v>553.25</v>
      </c>
      <c r="G573" s="34">
        <v>53.03</v>
      </c>
      <c r="H573" s="34">
        <v>0</v>
      </c>
      <c r="I573" s="34">
        <v>553.25</v>
      </c>
      <c r="J573" s="34">
        <v>83.45</v>
      </c>
      <c r="K573" s="34">
        <v>636.70000000000005</v>
      </c>
      <c r="L573" s="33" t="s">
        <v>14</v>
      </c>
      <c r="M573" s="34" t="e">
        <f t="shared" si="71"/>
        <v>#DIV/0!</v>
      </c>
      <c r="N573" s="27"/>
      <c r="O573" s="34" t="e">
        <f t="shared" si="67"/>
        <v>#DIV/0!</v>
      </c>
      <c r="P573" s="35" t="e">
        <f t="shared" si="70"/>
        <v>#VALUE!</v>
      </c>
      <c r="Q573" s="34" t="e">
        <f t="shared" si="68"/>
        <v>#DIV/0!</v>
      </c>
      <c r="R573" s="35"/>
    </row>
    <row r="574" spans="1:18" hidden="1" x14ac:dyDescent="0.3">
      <c r="A574" s="37" t="s">
        <v>77</v>
      </c>
      <c r="B574" s="33" t="s">
        <v>48</v>
      </c>
      <c r="C574" s="34">
        <v>700.05</v>
      </c>
      <c r="D574" s="36">
        <v>30.97</v>
      </c>
      <c r="E574" s="33"/>
      <c r="F574" s="33">
        <v>774.28</v>
      </c>
      <c r="G574" s="34">
        <v>74.23</v>
      </c>
      <c r="H574" s="34">
        <v>0</v>
      </c>
      <c r="I574" s="34">
        <v>774.28</v>
      </c>
      <c r="J574" s="34">
        <v>116.8</v>
      </c>
      <c r="K574" s="34">
        <v>891.08</v>
      </c>
      <c r="L574" s="33" t="s">
        <v>14</v>
      </c>
      <c r="M574" s="34" t="e">
        <f t="shared" si="71"/>
        <v>#DIV/0!</v>
      </c>
      <c r="N574" s="27"/>
      <c r="O574" s="34" t="e">
        <f t="shared" si="67"/>
        <v>#DIV/0!</v>
      </c>
      <c r="P574" s="35" t="e">
        <f t="shared" si="70"/>
        <v>#VALUE!</v>
      </c>
      <c r="Q574" s="34" t="e">
        <f t="shared" si="68"/>
        <v>#DIV/0!</v>
      </c>
      <c r="R574" s="35"/>
    </row>
    <row r="575" spans="1:18" x14ac:dyDescent="0.3">
      <c r="A575" s="32">
        <v>43973</v>
      </c>
      <c r="B575" s="33" t="s">
        <v>48</v>
      </c>
      <c r="C575" s="34">
        <v>904.13</v>
      </c>
      <c r="D575" s="30">
        <v>40</v>
      </c>
      <c r="E575" s="35"/>
      <c r="F575" s="35">
        <v>1000</v>
      </c>
      <c r="G575" s="34">
        <v>95.87</v>
      </c>
      <c r="H575" s="34">
        <v>0</v>
      </c>
      <c r="I575" s="34">
        <v>1000</v>
      </c>
      <c r="J575" s="34">
        <v>150.84</v>
      </c>
      <c r="K575" s="34">
        <v>1150.8399999999999</v>
      </c>
      <c r="L575" s="33" t="s">
        <v>14</v>
      </c>
      <c r="M575" s="34">
        <f t="shared" si="71"/>
        <v>25</v>
      </c>
      <c r="N575" s="27">
        <v>40</v>
      </c>
      <c r="O575" s="34">
        <v>0</v>
      </c>
      <c r="P575" s="35">
        <f t="shared" si="70"/>
        <v>0</v>
      </c>
      <c r="Q575" s="40">
        <f t="shared" ref="Q575:Q579" si="73">O575*2</f>
        <v>0</v>
      </c>
      <c r="R575" s="35"/>
    </row>
    <row r="576" spans="1:18" x14ac:dyDescent="0.3">
      <c r="A576" s="32">
        <v>43987</v>
      </c>
      <c r="B576" s="33" t="s">
        <v>48</v>
      </c>
      <c r="C576" s="34">
        <v>1592.45</v>
      </c>
      <c r="D576" s="36">
        <v>40.5</v>
      </c>
      <c r="E576" s="35"/>
      <c r="F576" s="35">
        <v>1800</v>
      </c>
      <c r="G576" s="34">
        <v>207.55</v>
      </c>
      <c r="H576" s="34">
        <v>0</v>
      </c>
      <c r="I576" s="34">
        <v>1800</v>
      </c>
      <c r="J576" s="34">
        <v>271.52</v>
      </c>
      <c r="K576" s="34">
        <v>2071.52</v>
      </c>
      <c r="L576" s="33" t="s">
        <v>14</v>
      </c>
      <c r="M576" s="34">
        <f t="shared" si="71"/>
        <v>24.827586206896552</v>
      </c>
      <c r="N576" s="27">
        <v>72.5</v>
      </c>
      <c r="O576" s="38">
        <f>(M576*0.5)*0.5</f>
        <v>6.2068965517241379</v>
      </c>
      <c r="P576" s="35">
        <f t="shared" si="70"/>
        <v>0.81</v>
      </c>
      <c r="Q576" s="40">
        <f t="shared" si="73"/>
        <v>12.413793103448276</v>
      </c>
      <c r="R576" s="35"/>
    </row>
    <row r="577" spans="1:18" x14ac:dyDescent="0.3">
      <c r="A577" s="29">
        <v>43995</v>
      </c>
      <c r="B577" s="33" t="s">
        <v>48</v>
      </c>
      <c r="C577" s="34">
        <v>1618.95</v>
      </c>
      <c r="D577" s="30">
        <v>80</v>
      </c>
      <c r="E577" s="35"/>
      <c r="F577" s="49">
        <v>2353</v>
      </c>
      <c r="G577" s="34"/>
      <c r="H577" s="34"/>
      <c r="I577" s="34"/>
      <c r="J577" s="34"/>
      <c r="K577" s="34"/>
      <c r="L577" s="33"/>
      <c r="M577" s="38">
        <v>26.57</v>
      </c>
      <c r="N577" s="27">
        <v>80</v>
      </c>
      <c r="O577" s="42">
        <v>0</v>
      </c>
      <c r="P577" s="35">
        <f t="shared" si="70"/>
        <v>0</v>
      </c>
      <c r="Q577" s="40">
        <f t="shared" si="73"/>
        <v>0</v>
      </c>
      <c r="R577" s="35"/>
    </row>
    <row r="578" spans="1:18" x14ac:dyDescent="0.3">
      <c r="A578" s="32">
        <v>44009</v>
      </c>
      <c r="B578" s="33" t="s">
        <v>48</v>
      </c>
      <c r="C578" s="34">
        <v>2283.79</v>
      </c>
      <c r="D578" s="30">
        <v>94.5</v>
      </c>
      <c r="E578" s="35"/>
      <c r="F578" s="35">
        <v>2665</v>
      </c>
      <c r="G578" s="34"/>
      <c r="H578" s="34"/>
      <c r="I578" s="34"/>
      <c r="J578" s="34"/>
      <c r="K578" s="34"/>
      <c r="L578" s="33"/>
      <c r="M578" s="38">
        <v>26.57</v>
      </c>
      <c r="N578" s="27">
        <v>94.5</v>
      </c>
      <c r="O578" s="42">
        <v>0</v>
      </c>
      <c r="P578" s="35">
        <f t="shared" si="70"/>
        <v>0</v>
      </c>
      <c r="Q578" s="40">
        <f t="shared" si="73"/>
        <v>0</v>
      </c>
      <c r="R578" s="35"/>
    </row>
    <row r="579" spans="1:18" x14ac:dyDescent="0.3">
      <c r="A579" s="32">
        <v>44023</v>
      </c>
      <c r="B579" s="33" t="s">
        <v>48</v>
      </c>
      <c r="C579" s="34">
        <v>2438.17</v>
      </c>
      <c r="D579" s="30">
        <v>106.5</v>
      </c>
      <c r="E579" s="35"/>
      <c r="F579" s="35">
        <v>3113.5</v>
      </c>
      <c r="G579" s="34"/>
      <c r="H579" s="34"/>
      <c r="I579" s="34"/>
      <c r="J579" s="34"/>
      <c r="K579" s="34"/>
      <c r="L579" s="33"/>
      <c r="M579" s="38">
        <v>26.57</v>
      </c>
      <c r="N579" s="27">
        <v>106.5</v>
      </c>
      <c r="O579" s="42">
        <v>0</v>
      </c>
      <c r="P579" s="35">
        <f t="shared" si="70"/>
        <v>0</v>
      </c>
      <c r="Q579" s="40">
        <f t="shared" si="73"/>
        <v>0</v>
      </c>
      <c r="R579" s="35"/>
    </row>
    <row r="580" spans="1:18" hidden="1" x14ac:dyDescent="0.3">
      <c r="A580" s="37" t="s">
        <v>77</v>
      </c>
      <c r="B580" s="33" t="s">
        <v>49</v>
      </c>
      <c r="C580" s="34">
        <v>1354</v>
      </c>
      <c r="D580" s="33">
        <v>80</v>
      </c>
      <c r="E580" s="33"/>
      <c r="F580" s="33">
        <v>1404</v>
      </c>
      <c r="G580" s="34">
        <v>248.28</v>
      </c>
      <c r="H580" s="34">
        <v>50</v>
      </c>
      <c r="I580" s="34">
        <v>1652.28</v>
      </c>
      <c r="J580" s="34">
        <v>251.27</v>
      </c>
      <c r="K580" s="34">
        <v>1903.55</v>
      </c>
      <c r="L580" s="33" t="s">
        <v>14</v>
      </c>
      <c r="M580" s="34" t="e">
        <f t="shared" si="71"/>
        <v>#DIV/0!</v>
      </c>
      <c r="N580" s="27"/>
      <c r="O580" s="34" t="e">
        <f t="shared" si="67"/>
        <v>#DIV/0!</v>
      </c>
      <c r="P580" s="35" t="e">
        <f t="shared" si="70"/>
        <v>#VALUE!</v>
      </c>
      <c r="Q580" s="34" t="e">
        <f t="shared" si="68"/>
        <v>#DIV/0!</v>
      </c>
      <c r="R580" s="35">
        <v>409.55</v>
      </c>
    </row>
    <row r="581" spans="1:18" x14ac:dyDescent="0.3">
      <c r="A581" s="32">
        <v>43889</v>
      </c>
      <c r="B581" s="33" t="s">
        <v>49</v>
      </c>
      <c r="C581" s="34">
        <v>1795</v>
      </c>
      <c r="D581" s="36">
        <v>53</v>
      </c>
      <c r="E581" s="35"/>
      <c r="F581" s="35">
        <v>1845</v>
      </c>
      <c r="G581" s="34">
        <v>336.05</v>
      </c>
      <c r="H581" s="34">
        <v>50</v>
      </c>
      <c r="I581" s="34">
        <v>2181.0500000000002</v>
      </c>
      <c r="J581" s="34">
        <v>294.89</v>
      </c>
      <c r="K581" s="34">
        <v>2475.94</v>
      </c>
      <c r="L581" s="33" t="s">
        <v>14</v>
      </c>
      <c r="M581" s="34">
        <f t="shared" si="71"/>
        <v>34.811320754716981</v>
      </c>
      <c r="N581" s="27">
        <v>53</v>
      </c>
      <c r="O581" s="38">
        <f>(M581*0.5)*13</f>
        <v>226.27358490566039</v>
      </c>
      <c r="P581" s="35">
        <f t="shared" si="70"/>
        <v>36.200000000000003</v>
      </c>
      <c r="Q581" s="40">
        <f>O581*2</f>
        <v>452.54716981132077</v>
      </c>
      <c r="R581" s="35">
        <v>556.29999999999995</v>
      </c>
    </row>
    <row r="582" spans="1:18" hidden="1" x14ac:dyDescent="0.3">
      <c r="A582" s="37" t="s">
        <v>77</v>
      </c>
      <c r="B582" s="33" t="s">
        <v>49</v>
      </c>
      <c r="C582" s="34">
        <v>1606</v>
      </c>
      <c r="D582" s="33">
        <v>80</v>
      </c>
      <c r="E582" s="33"/>
      <c r="F582" s="33">
        <v>1656</v>
      </c>
      <c r="G582" s="34">
        <v>298.43</v>
      </c>
      <c r="H582" s="34">
        <v>50</v>
      </c>
      <c r="I582" s="34">
        <v>1954.43</v>
      </c>
      <c r="J582" s="34">
        <v>276.2</v>
      </c>
      <c r="K582" s="34">
        <v>2230.63</v>
      </c>
      <c r="L582" s="33" t="s">
        <v>14</v>
      </c>
      <c r="M582" s="34" t="e">
        <f t="shared" si="71"/>
        <v>#DIV/0!</v>
      </c>
      <c r="N582" s="27"/>
      <c r="O582" s="34" t="e">
        <f t="shared" si="67"/>
        <v>#DIV/0!</v>
      </c>
      <c r="P582" s="35" t="e">
        <f t="shared" si="70"/>
        <v>#VALUE!</v>
      </c>
      <c r="Q582" s="34" t="e">
        <f t="shared" si="68"/>
        <v>#DIV/0!</v>
      </c>
      <c r="R582" s="35"/>
    </row>
    <row r="583" spans="1:18" hidden="1" x14ac:dyDescent="0.3">
      <c r="A583" s="37" t="s">
        <v>77</v>
      </c>
      <c r="B583" s="33" t="s">
        <v>49</v>
      </c>
      <c r="C583" s="34">
        <v>1453.68</v>
      </c>
      <c r="D583" s="33">
        <v>84.5</v>
      </c>
      <c r="E583" s="33"/>
      <c r="F583" s="36">
        <v>1778.38</v>
      </c>
      <c r="G583" s="34">
        <v>324.7</v>
      </c>
      <c r="H583" s="34">
        <v>0</v>
      </c>
      <c r="I583" s="34">
        <v>1778.38</v>
      </c>
      <c r="J583" s="34">
        <v>294.63</v>
      </c>
      <c r="K583" s="34">
        <v>2073.0100000000002</v>
      </c>
      <c r="L583" s="33" t="s">
        <v>14</v>
      </c>
      <c r="M583" s="34" t="e">
        <f t="shared" si="71"/>
        <v>#DIV/0!</v>
      </c>
      <c r="N583" s="27"/>
      <c r="O583" s="34" t="e">
        <f t="shared" si="67"/>
        <v>#DIV/0!</v>
      </c>
      <c r="P583" s="35" t="e">
        <f t="shared" si="70"/>
        <v>#VALUE!</v>
      </c>
      <c r="Q583" s="34" t="e">
        <f t="shared" si="68"/>
        <v>#DIV/0!</v>
      </c>
      <c r="R583" s="35"/>
    </row>
    <row r="584" spans="1:18" hidden="1" x14ac:dyDescent="0.3">
      <c r="A584" s="37" t="s">
        <v>77</v>
      </c>
      <c r="B584" s="33" t="s">
        <v>49</v>
      </c>
      <c r="C584" s="34">
        <v>704.05</v>
      </c>
      <c r="D584" s="33">
        <v>40</v>
      </c>
      <c r="E584" s="33"/>
      <c r="F584" s="33">
        <v>820</v>
      </c>
      <c r="G584" s="34">
        <v>115.95</v>
      </c>
      <c r="H584" s="34">
        <v>0</v>
      </c>
      <c r="I584" s="34">
        <v>820</v>
      </c>
      <c r="J584" s="34">
        <v>134.28</v>
      </c>
      <c r="K584" s="34">
        <v>954.28</v>
      </c>
      <c r="L584" s="33" t="s">
        <v>14</v>
      </c>
      <c r="M584" s="34" t="e">
        <f t="shared" si="71"/>
        <v>#DIV/0!</v>
      </c>
      <c r="N584" s="27"/>
      <c r="O584" s="34" t="e">
        <f t="shared" si="67"/>
        <v>#DIV/0!</v>
      </c>
      <c r="P584" s="35" t="e">
        <f t="shared" si="70"/>
        <v>#VALUE!</v>
      </c>
      <c r="Q584" s="34" t="e">
        <f t="shared" si="68"/>
        <v>#DIV/0!</v>
      </c>
      <c r="R584" s="35"/>
    </row>
    <row r="585" spans="1:18" hidden="1" x14ac:dyDescent="0.3">
      <c r="A585" s="37" t="s">
        <v>77</v>
      </c>
      <c r="B585" s="33" t="s">
        <v>49</v>
      </c>
      <c r="C585" s="34">
        <v>500.1</v>
      </c>
      <c r="D585" s="33">
        <v>27.57</v>
      </c>
      <c r="E585" s="33"/>
      <c r="F585" s="33">
        <v>565.19000000000005</v>
      </c>
      <c r="G585" s="34">
        <v>65.09</v>
      </c>
      <c r="H585" s="34">
        <v>0</v>
      </c>
      <c r="I585" s="34">
        <v>565.19000000000005</v>
      </c>
      <c r="J585" s="34">
        <v>94.32</v>
      </c>
      <c r="K585" s="34">
        <v>659.51</v>
      </c>
      <c r="L585" s="33" t="s">
        <v>14</v>
      </c>
      <c r="M585" s="34" t="e">
        <f t="shared" si="71"/>
        <v>#DIV/0!</v>
      </c>
      <c r="N585" s="27"/>
      <c r="O585" s="34" t="e">
        <f t="shared" si="67"/>
        <v>#DIV/0!</v>
      </c>
      <c r="P585" s="35" t="e">
        <f t="shared" si="70"/>
        <v>#VALUE!</v>
      </c>
      <c r="Q585" s="34" t="e">
        <f t="shared" si="68"/>
        <v>#DIV/0!</v>
      </c>
      <c r="R585" s="35"/>
    </row>
    <row r="586" spans="1:18" hidden="1" x14ac:dyDescent="0.3">
      <c r="A586" s="37" t="s">
        <v>77</v>
      </c>
      <c r="B586" s="33" t="s">
        <v>49</v>
      </c>
      <c r="C586" s="34">
        <v>700</v>
      </c>
      <c r="D586" s="33">
        <v>39.75</v>
      </c>
      <c r="E586" s="33"/>
      <c r="F586" s="33">
        <v>814.94</v>
      </c>
      <c r="G586" s="34">
        <v>114.94</v>
      </c>
      <c r="H586" s="34">
        <v>0</v>
      </c>
      <c r="I586" s="34">
        <v>814.94</v>
      </c>
      <c r="J586" s="34">
        <v>135.99</v>
      </c>
      <c r="K586" s="34">
        <v>950.93</v>
      </c>
      <c r="L586" s="33" t="s">
        <v>14</v>
      </c>
      <c r="M586" s="34" t="e">
        <f t="shared" si="71"/>
        <v>#DIV/0!</v>
      </c>
      <c r="N586" s="27"/>
      <c r="O586" s="34" t="e">
        <f t="shared" si="67"/>
        <v>#DIV/0!</v>
      </c>
      <c r="P586" s="35" t="e">
        <f t="shared" si="70"/>
        <v>#VALUE!</v>
      </c>
      <c r="Q586" s="34" t="e">
        <f t="shared" si="68"/>
        <v>#DIV/0!</v>
      </c>
      <c r="R586" s="35"/>
    </row>
    <row r="587" spans="1:18" hidden="1" x14ac:dyDescent="0.3">
      <c r="A587" s="37" t="s">
        <v>77</v>
      </c>
      <c r="B587" s="33" t="s">
        <v>49</v>
      </c>
      <c r="C587" s="34">
        <v>1344.75</v>
      </c>
      <c r="D587" s="33">
        <v>80</v>
      </c>
      <c r="E587" s="33"/>
      <c r="F587" s="33">
        <v>1640</v>
      </c>
      <c r="G587" s="34">
        <v>295.25</v>
      </c>
      <c r="H587" s="34">
        <v>0</v>
      </c>
      <c r="I587" s="34">
        <v>1640</v>
      </c>
      <c r="J587" s="34">
        <v>273.68</v>
      </c>
      <c r="K587" s="34">
        <v>1913.68</v>
      </c>
      <c r="L587" s="33" t="s">
        <v>14</v>
      </c>
      <c r="M587" s="34" t="e">
        <f t="shared" si="71"/>
        <v>#DIV/0!</v>
      </c>
      <c r="N587" s="27"/>
      <c r="O587" s="34" t="e">
        <f t="shared" si="67"/>
        <v>#DIV/0!</v>
      </c>
      <c r="P587" s="35" t="e">
        <f t="shared" si="70"/>
        <v>#VALUE!</v>
      </c>
      <c r="Q587" s="34" t="e">
        <f t="shared" si="68"/>
        <v>#DIV/0!</v>
      </c>
      <c r="R587" s="35"/>
    </row>
    <row r="588" spans="1:18" hidden="1" x14ac:dyDescent="0.3">
      <c r="A588" s="37" t="s">
        <v>77</v>
      </c>
      <c r="B588" s="33" t="s">
        <v>49</v>
      </c>
      <c r="C588" s="34">
        <v>1878.33</v>
      </c>
      <c r="D588" s="33">
        <v>96.5</v>
      </c>
      <c r="E588" s="33"/>
      <c r="F588" s="36">
        <v>2356.88</v>
      </c>
      <c r="G588" s="34">
        <v>478.55</v>
      </c>
      <c r="H588" s="34">
        <v>0</v>
      </c>
      <c r="I588" s="34">
        <v>2356.88</v>
      </c>
      <c r="J588" s="34">
        <v>359.59</v>
      </c>
      <c r="K588" s="34">
        <v>2716.47</v>
      </c>
      <c r="L588" s="33" t="s">
        <v>14</v>
      </c>
      <c r="M588" s="34" t="e">
        <f t="shared" si="71"/>
        <v>#DIV/0!</v>
      </c>
      <c r="N588" s="27"/>
      <c r="O588" s="34" t="e">
        <f t="shared" si="67"/>
        <v>#DIV/0!</v>
      </c>
      <c r="P588" s="35" t="e">
        <f t="shared" si="70"/>
        <v>#VALUE!</v>
      </c>
      <c r="Q588" s="34" t="e">
        <f t="shared" si="68"/>
        <v>#DIV/0!</v>
      </c>
      <c r="R588" s="35"/>
    </row>
    <row r="589" spans="1:18" x14ac:dyDescent="0.3">
      <c r="A589" s="32">
        <v>44009</v>
      </c>
      <c r="B589" s="33" t="s">
        <v>49</v>
      </c>
      <c r="C589" s="34">
        <v>1901.57</v>
      </c>
      <c r="D589" s="31">
        <v>97.5</v>
      </c>
      <c r="E589" s="35"/>
      <c r="F589" s="40">
        <v>2390.63</v>
      </c>
      <c r="G589" s="34"/>
      <c r="H589" s="34"/>
      <c r="I589" s="34"/>
      <c r="J589" s="34"/>
      <c r="K589" s="34"/>
      <c r="L589" s="33"/>
      <c r="M589" s="38">
        <v>34.81</v>
      </c>
      <c r="N589" s="27">
        <v>97.5</v>
      </c>
      <c r="O589" s="42">
        <v>0</v>
      </c>
      <c r="P589" s="35">
        <f t="shared" si="70"/>
        <v>0</v>
      </c>
      <c r="Q589" s="40">
        <f t="shared" ref="Q589:Q620" si="74">O589*2</f>
        <v>0</v>
      </c>
      <c r="R589" s="35"/>
    </row>
    <row r="590" spans="1:18" x14ac:dyDescent="0.3">
      <c r="A590" s="32">
        <v>43511</v>
      </c>
      <c r="B590" s="33" t="s">
        <v>50</v>
      </c>
      <c r="C590" s="34">
        <v>1591</v>
      </c>
      <c r="D590" s="33">
        <v>80</v>
      </c>
      <c r="E590" s="35">
        <v>199.83</v>
      </c>
      <c r="F590" s="35">
        <v>1791</v>
      </c>
      <c r="G590" s="34">
        <v>199.83</v>
      </c>
      <c r="H590" s="34">
        <v>200</v>
      </c>
      <c r="I590" s="34">
        <v>1990.83</v>
      </c>
      <c r="J590" s="34">
        <v>360.82</v>
      </c>
      <c r="K590" s="34">
        <v>2351.65</v>
      </c>
      <c r="L590" s="33">
        <v>100150</v>
      </c>
      <c r="M590" s="34">
        <f t="shared" si="71"/>
        <v>20.008341708542712</v>
      </c>
      <c r="N590" s="27">
        <v>99.5</v>
      </c>
      <c r="O590" s="34">
        <f t="shared" si="67"/>
        <v>195.08133165829145</v>
      </c>
      <c r="P590" s="35">
        <f t="shared" si="70"/>
        <v>54.62</v>
      </c>
      <c r="Q590" s="40">
        <f t="shared" si="74"/>
        <v>390.16266331658289</v>
      </c>
      <c r="R590" s="35">
        <v>556.29999999999995</v>
      </c>
    </row>
    <row r="591" spans="1:18" x14ac:dyDescent="0.3">
      <c r="A591" s="32">
        <v>43525</v>
      </c>
      <c r="B591" s="33" t="s">
        <v>50</v>
      </c>
      <c r="C591" s="34">
        <v>1140</v>
      </c>
      <c r="D591" s="33">
        <v>80</v>
      </c>
      <c r="E591" s="35">
        <v>185.15</v>
      </c>
      <c r="F591" s="35">
        <v>1620</v>
      </c>
      <c r="G591" s="34">
        <v>185.15</v>
      </c>
      <c r="H591" s="34">
        <v>480</v>
      </c>
      <c r="I591" s="34">
        <v>1805.15</v>
      </c>
      <c r="J591" s="34">
        <v>342.14</v>
      </c>
      <c r="K591" s="34">
        <v>2147.29</v>
      </c>
      <c r="L591" s="33">
        <v>100160</v>
      </c>
      <c r="M591" s="34">
        <f t="shared" si="71"/>
        <v>20.057222222222222</v>
      </c>
      <c r="N591" s="27">
        <v>90</v>
      </c>
      <c r="O591" s="34">
        <f t="shared" si="67"/>
        <v>100.28611111111111</v>
      </c>
      <c r="P591" s="35">
        <f t="shared" si="70"/>
        <v>28.08</v>
      </c>
      <c r="Q591" s="40">
        <f t="shared" si="74"/>
        <v>200.57222222222222</v>
      </c>
      <c r="R591" s="35"/>
    </row>
    <row r="592" spans="1:18" x14ac:dyDescent="0.3">
      <c r="A592" s="32">
        <v>43539</v>
      </c>
      <c r="B592" s="33" t="s">
        <v>50</v>
      </c>
      <c r="C592" s="34">
        <v>1018</v>
      </c>
      <c r="D592" s="33">
        <v>80</v>
      </c>
      <c r="E592" s="35">
        <v>287.83</v>
      </c>
      <c r="F592" s="35">
        <v>1683</v>
      </c>
      <c r="G592" s="34">
        <v>287.83</v>
      </c>
      <c r="H592" s="34">
        <v>665</v>
      </c>
      <c r="I592" s="34">
        <v>1970.83</v>
      </c>
      <c r="J592" s="34">
        <v>358.8</v>
      </c>
      <c r="K592" s="34">
        <v>2329.63</v>
      </c>
      <c r="L592" s="33" t="s">
        <v>14</v>
      </c>
      <c r="M592" s="34">
        <f t="shared" si="71"/>
        <v>21.078395721925133</v>
      </c>
      <c r="N592" s="27">
        <v>93.5</v>
      </c>
      <c r="O592" s="34">
        <f t="shared" si="67"/>
        <v>142.27917112299465</v>
      </c>
      <c r="P592" s="35">
        <f t="shared" si="70"/>
        <v>38.42</v>
      </c>
      <c r="Q592" s="40">
        <f t="shared" si="74"/>
        <v>284.55834224598931</v>
      </c>
      <c r="R592" s="35"/>
    </row>
    <row r="593" spans="1:18" x14ac:dyDescent="0.3">
      <c r="A593" s="32">
        <v>43553</v>
      </c>
      <c r="B593" s="33" t="s">
        <v>50</v>
      </c>
      <c r="C593" s="34">
        <v>1198</v>
      </c>
      <c r="D593" s="33">
        <v>80</v>
      </c>
      <c r="E593" s="35">
        <v>276.64</v>
      </c>
      <c r="F593" s="35">
        <v>1638</v>
      </c>
      <c r="G593" s="34">
        <v>276.64</v>
      </c>
      <c r="H593" s="34">
        <v>440</v>
      </c>
      <c r="I593" s="34">
        <v>1914.64</v>
      </c>
      <c r="J593" s="34">
        <v>349.06</v>
      </c>
      <c r="K593" s="34">
        <v>2263.6999999999998</v>
      </c>
      <c r="L593" s="33" t="s">
        <v>14</v>
      </c>
      <c r="M593" s="34">
        <f t="shared" si="71"/>
        <v>21.04</v>
      </c>
      <c r="N593" s="27">
        <v>91</v>
      </c>
      <c r="O593" s="34">
        <f t="shared" si="67"/>
        <v>115.72</v>
      </c>
      <c r="P593" s="35">
        <f t="shared" si="70"/>
        <v>31.24</v>
      </c>
      <c r="Q593" s="40">
        <f t="shared" si="74"/>
        <v>231.44</v>
      </c>
      <c r="R593" s="35"/>
    </row>
    <row r="594" spans="1:18" x14ac:dyDescent="0.3">
      <c r="A594" s="32">
        <v>43567</v>
      </c>
      <c r="B594" s="33" t="s">
        <v>50</v>
      </c>
      <c r="C594" s="34">
        <v>1053</v>
      </c>
      <c r="D594" s="33">
        <v>80</v>
      </c>
      <c r="E594" s="35">
        <v>265.47000000000003</v>
      </c>
      <c r="F594" s="35">
        <v>1593</v>
      </c>
      <c r="G594" s="34">
        <v>265.47000000000003</v>
      </c>
      <c r="H594" s="34">
        <v>540</v>
      </c>
      <c r="I594" s="34">
        <v>1858.47</v>
      </c>
      <c r="J594" s="34">
        <v>336.36</v>
      </c>
      <c r="K594" s="34">
        <v>2194.83</v>
      </c>
      <c r="L594" s="33" t="s">
        <v>14</v>
      </c>
      <c r="M594" s="34">
        <f t="shared" si="71"/>
        <v>20.999661016949151</v>
      </c>
      <c r="N594" s="27">
        <v>88.5</v>
      </c>
      <c r="O594" s="34">
        <f t="shared" ref="O594:O665" si="75">((N594-80)*M594)*0.5</f>
        <v>89.248559322033898</v>
      </c>
      <c r="P594" s="35">
        <f t="shared" si="70"/>
        <v>24.1</v>
      </c>
      <c r="Q594" s="40">
        <f t="shared" si="74"/>
        <v>178.4971186440678</v>
      </c>
      <c r="R594" s="35"/>
    </row>
    <row r="595" spans="1:18" x14ac:dyDescent="0.3">
      <c r="A595" s="32">
        <v>43581</v>
      </c>
      <c r="B595" s="33" t="s">
        <v>50</v>
      </c>
      <c r="C595" s="34">
        <v>1134</v>
      </c>
      <c r="D595" s="33">
        <v>80</v>
      </c>
      <c r="E595" s="35">
        <v>263.2</v>
      </c>
      <c r="F595" s="35">
        <v>1584</v>
      </c>
      <c r="G595" s="34">
        <v>263.2</v>
      </c>
      <c r="H595" s="34">
        <v>450</v>
      </c>
      <c r="I595" s="34">
        <v>1847.2</v>
      </c>
      <c r="J595" s="34">
        <v>332.13</v>
      </c>
      <c r="K595" s="34">
        <v>2179.33</v>
      </c>
      <c r="L595" s="33" t="s">
        <v>14</v>
      </c>
      <c r="M595" s="34">
        <f t="shared" si="71"/>
        <v>20.990909090909092</v>
      </c>
      <c r="N595" s="27">
        <v>88</v>
      </c>
      <c r="O595" s="34">
        <f t="shared" si="75"/>
        <v>83.963636363636368</v>
      </c>
      <c r="P595" s="35">
        <f t="shared" si="70"/>
        <v>21.83</v>
      </c>
      <c r="Q595" s="40">
        <f t="shared" si="74"/>
        <v>167.92727272727274</v>
      </c>
      <c r="R595" s="35"/>
    </row>
    <row r="596" spans="1:18" x14ac:dyDescent="0.3">
      <c r="A596" s="32">
        <v>43595</v>
      </c>
      <c r="B596" s="33" t="s">
        <v>50</v>
      </c>
      <c r="C596" s="34">
        <v>1880</v>
      </c>
      <c r="D596" s="33">
        <v>80</v>
      </c>
      <c r="E596" s="35">
        <v>336.78</v>
      </c>
      <c r="F596" s="35">
        <v>1880</v>
      </c>
      <c r="G596" s="34">
        <v>336.78</v>
      </c>
      <c r="H596" s="34">
        <v>0</v>
      </c>
      <c r="I596" s="34">
        <v>2216.7800000000002</v>
      </c>
      <c r="J596" s="34">
        <v>366.48</v>
      </c>
      <c r="K596" s="34">
        <v>2583.2600000000002</v>
      </c>
      <c r="L596" s="33" t="s">
        <v>14</v>
      </c>
      <c r="M596" s="34">
        <f t="shared" si="71"/>
        <v>23.582765957446806</v>
      </c>
      <c r="N596" s="27">
        <v>94</v>
      </c>
      <c r="O596" s="34">
        <f t="shared" si="75"/>
        <v>165.07936170212764</v>
      </c>
      <c r="P596" s="35">
        <f t="shared" si="70"/>
        <v>42.92</v>
      </c>
      <c r="Q596" s="40">
        <f t="shared" si="74"/>
        <v>330.15872340425528</v>
      </c>
      <c r="R596" s="35"/>
    </row>
    <row r="597" spans="1:18" x14ac:dyDescent="0.3">
      <c r="A597" s="32">
        <v>43609</v>
      </c>
      <c r="B597" s="33" t="s">
        <v>50</v>
      </c>
      <c r="C597" s="34">
        <v>1698</v>
      </c>
      <c r="D597" s="33">
        <v>80</v>
      </c>
      <c r="E597" s="35">
        <v>406.34</v>
      </c>
      <c r="F597" s="35">
        <v>2160</v>
      </c>
      <c r="G597" s="34">
        <v>406.34</v>
      </c>
      <c r="H597" s="34">
        <v>462</v>
      </c>
      <c r="I597" s="34">
        <v>2566.34</v>
      </c>
      <c r="J597" s="34">
        <v>398.95</v>
      </c>
      <c r="K597" s="34">
        <v>2965.29</v>
      </c>
      <c r="L597" s="33" t="s">
        <v>14</v>
      </c>
      <c r="M597" s="34">
        <f t="shared" si="71"/>
        <v>23.762407407407409</v>
      </c>
      <c r="N597" s="27">
        <v>108</v>
      </c>
      <c r="O597" s="34">
        <f t="shared" si="75"/>
        <v>332.67370370370372</v>
      </c>
      <c r="P597" s="35">
        <f t="shared" si="70"/>
        <v>83.17</v>
      </c>
      <c r="Q597" s="40">
        <f t="shared" si="74"/>
        <v>665.34740740740745</v>
      </c>
      <c r="R597" s="35"/>
    </row>
    <row r="598" spans="1:18" x14ac:dyDescent="0.3">
      <c r="A598" s="32">
        <v>43623</v>
      </c>
      <c r="B598" s="33" t="s">
        <v>50</v>
      </c>
      <c r="C598" s="34">
        <v>1790</v>
      </c>
      <c r="D598" s="33">
        <v>80</v>
      </c>
      <c r="E598" s="35">
        <v>314.39999999999998</v>
      </c>
      <c r="F598" s="35">
        <v>1790</v>
      </c>
      <c r="G598" s="34">
        <v>314.39999999999998</v>
      </c>
      <c r="H598" s="34">
        <v>0</v>
      </c>
      <c r="I598" s="34">
        <v>2104.4</v>
      </c>
      <c r="J598" s="34">
        <v>356.04</v>
      </c>
      <c r="K598" s="34">
        <v>2460.44</v>
      </c>
      <c r="L598" s="33" t="s">
        <v>14</v>
      </c>
      <c r="M598" s="34">
        <f t="shared" si="71"/>
        <v>23.512849162011175</v>
      </c>
      <c r="N598" s="27">
        <v>89.5</v>
      </c>
      <c r="O598" s="34">
        <f t="shared" si="75"/>
        <v>111.68603351955308</v>
      </c>
      <c r="P598" s="35">
        <f t="shared" si="70"/>
        <v>27.92</v>
      </c>
      <c r="Q598" s="40">
        <f t="shared" si="74"/>
        <v>223.37206703910616</v>
      </c>
      <c r="R598" s="35"/>
    </row>
    <row r="599" spans="1:18" x14ac:dyDescent="0.3">
      <c r="A599" s="32">
        <v>43637</v>
      </c>
      <c r="B599" s="33" t="s">
        <v>50</v>
      </c>
      <c r="C599" s="34">
        <v>1390</v>
      </c>
      <c r="D599" s="33">
        <v>80</v>
      </c>
      <c r="E599" s="35">
        <v>336.87</v>
      </c>
      <c r="F599" s="35">
        <v>2270</v>
      </c>
      <c r="G599" s="34">
        <v>336.87</v>
      </c>
      <c r="H599" s="34">
        <v>880</v>
      </c>
      <c r="I599" s="34">
        <v>2606.87</v>
      </c>
      <c r="J599" s="34">
        <v>402.71</v>
      </c>
      <c r="K599" s="34">
        <v>3009.58</v>
      </c>
      <c r="L599" s="33" t="s">
        <v>14</v>
      </c>
      <c r="M599" s="34">
        <f t="shared" si="71"/>
        <v>22.968017621145375</v>
      </c>
      <c r="N599" s="27">
        <v>113.5</v>
      </c>
      <c r="O599" s="34">
        <f t="shared" si="75"/>
        <v>384.71429515418504</v>
      </c>
      <c r="P599" s="35">
        <f t="shared" si="70"/>
        <v>92.33</v>
      </c>
      <c r="Q599" s="40">
        <f t="shared" si="74"/>
        <v>769.42859030837008</v>
      </c>
      <c r="R599" s="35"/>
    </row>
    <row r="600" spans="1:18" x14ac:dyDescent="0.3">
      <c r="A600" s="32">
        <v>43651</v>
      </c>
      <c r="B600" s="33" t="s">
        <v>50</v>
      </c>
      <c r="C600" s="34">
        <v>1680</v>
      </c>
      <c r="D600" s="33">
        <v>80</v>
      </c>
      <c r="E600" s="35">
        <v>190.3</v>
      </c>
      <c r="F600" s="35">
        <v>1680</v>
      </c>
      <c r="G600" s="34">
        <v>190.3</v>
      </c>
      <c r="H600" s="34">
        <v>0</v>
      </c>
      <c r="I600" s="34">
        <v>1870.3</v>
      </c>
      <c r="J600" s="34">
        <v>334.29</v>
      </c>
      <c r="K600" s="34">
        <v>2204.59</v>
      </c>
      <c r="L600" s="33" t="s">
        <v>14</v>
      </c>
      <c r="M600" s="34">
        <f t="shared" si="71"/>
        <v>22.265476190476189</v>
      </c>
      <c r="N600" s="27">
        <v>84</v>
      </c>
      <c r="O600" s="34">
        <f t="shared" si="75"/>
        <v>44.530952380952378</v>
      </c>
      <c r="P600" s="35">
        <f t="shared" si="70"/>
        <v>10.69</v>
      </c>
      <c r="Q600" s="40">
        <f t="shared" si="74"/>
        <v>89.061904761904756</v>
      </c>
      <c r="R600" s="35"/>
    </row>
    <row r="601" spans="1:18" x14ac:dyDescent="0.3">
      <c r="A601" s="32">
        <v>43665</v>
      </c>
      <c r="B601" s="33" t="s">
        <v>50</v>
      </c>
      <c r="C601" s="34">
        <v>1650</v>
      </c>
      <c r="D601" s="36">
        <v>50</v>
      </c>
      <c r="E601" s="35">
        <v>198.88</v>
      </c>
      <c r="F601" s="35">
        <v>1650</v>
      </c>
      <c r="G601" s="34">
        <v>198.88</v>
      </c>
      <c r="H601" s="34">
        <v>0</v>
      </c>
      <c r="I601" s="34">
        <v>1848.88</v>
      </c>
      <c r="J601" s="34">
        <v>332.3</v>
      </c>
      <c r="K601" s="34">
        <v>2181.1799999999998</v>
      </c>
      <c r="L601" s="33" t="s">
        <v>14</v>
      </c>
      <c r="M601" s="34">
        <f t="shared" si="71"/>
        <v>22.410666666666668</v>
      </c>
      <c r="N601" s="27">
        <v>82.5</v>
      </c>
      <c r="O601" s="38">
        <f>(M601*0.5)*10</f>
        <v>112.05333333333334</v>
      </c>
      <c r="P601" s="35">
        <f t="shared" si="70"/>
        <v>25.77</v>
      </c>
      <c r="Q601" s="40">
        <f t="shared" si="74"/>
        <v>224.10666666666668</v>
      </c>
      <c r="R601" s="35"/>
    </row>
    <row r="602" spans="1:18" x14ac:dyDescent="0.3">
      <c r="A602" s="32">
        <v>43679</v>
      </c>
      <c r="B602" s="33" t="s">
        <v>50</v>
      </c>
      <c r="C602" s="34">
        <v>1010</v>
      </c>
      <c r="D602" s="33">
        <v>80</v>
      </c>
      <c r="E602" s="35">
        <v>251.2</v>
      </c>
      <c r="F602" s="35">
        <v>1890</v>
      </c>
      <c r="G602" s="34">
        <v>251.22</v>
      </c>
      <c r="H602" s="34">
        <v>879.98</v>
      </c>
      <c r="I602" s="34">
        <v>2141.1999999999998</v>
      </c>
      <c r="J602" s="34">
        <v>359.47</v>
      </c>
      <c r="K602" s="34">
        <v>2500.67</v>
      </c>
      <c r="L602" s="33" t="s">
        <v>14</v>
      </c>
      <c r="M602" s="34">
        <f t="shared" si="71"/>
        <v>22.658201058201055</v>
      </c>
      <c r="N602" s="27">
        <v>94.5</v>
      </c>
      <c r="O602" s="34">
        <f t="shared" si="75"/>
        <v>164.27195767195764</v>
      </c>
      <c r="P602" s="35">
        <f t="shared" si="70"/>
        <v>37.78</v>
      </c>
      <c r="Q602" s="40">
        <f t="shared" si="74"/>
        <v>328.54391534391527</v>
      </c>
      <c r="R602" s="35"/>
    </row>
    <row r="603" spans="1:18" x14ac:dyDescent="0.3">
      <c r="A603" s="32">
        <v>43693</v>
      </c>
      <c r="B603" s="33" t="s">
        <v>50</v>
      </c>
      <c r="C603" s="34">
        <v>2200</v>
      </c>
      <c r="D603" s="33">
        <v>80</v>
      </c>
      <c r="E603" s="35">
        <v>319.45999999999998</v>
      </c>
      <c r="F603" s="35">
        <v>2200</v>
      </c>
      <c r="G603" s="34">
        <v>319.45999999999998</v>
      </c>
      <c r="H603" s="34">
        <v>0</v>
      </c>
      <c r="I603" s="34">
        <v>2519.46</v>
      </c>
      <c r="J603" s="34">
        <v>394.58</v>
      </c>
      <c r="K603" s="34">
        <v>2914.04</v>
      </c>
      <c r="L603" s="33" t="s">
        <v>14</v>
      </c>
      <c r="M603" s="34">
        <f t="shared" si="71"/>
        <v>22.904181818181819</v>
      </c>
      <c r="N603" s="27">
        <v>110</v>
      </c>
      <c r="O603" s="34">
        <f t="shared" si="75"/>
        <v>343.56272727272727</v>
      </c>
      <c r="P603" s="35">
        <f t="shared" si="70"/>
        <v>75.58</v>
      </c>
      <c r="Q603" s="40">
        <f t="shared" si="74"/>
        <v>687.12545454545455</v>
      </c>
      <c r="R603" s="35"/>
    </row>
    <row r="604" spans="1:18" x14ac:dyDescent="0.3">
      <c r="A604" s="32">
        <v>43707</v>
      </c>
      <c r="B604" s="33" t="s">
        <v>50</v>
      </c>
      <c r="C604" s="34">
        <v>930</v>
      </c>
      <c r="D604" s="36">
        <v>52.5</v>
      </c>
      <c r="E604" s="35">
        <v>233.77</v>
      </c>
      <c r="F604" s="35">
        <v>1810</v>
      </c>
      <c r="G604" s="34">
        <v>233.77</v>
      </c>
      <c r="H604" s="34">
        <v>880</v>
      </c>
      <c r="I604" s="34">
        <v>2043.77</v>
      </c>
      <c r="J604" s="34">
        <v>350.41</v>
      </c>
      <c r="K604" s="34">
        <v>2394.1799999999998</v>
      </c>
      <c r="L604" s="33" t="s">
        <v>14</v>
      </c>
      <c r="M604" s="34">
        <f t="shared" si="71"/>
        <v>22.583093922651933</v>
      </c>
      <c r="N604" s="27">
        <v>90.5</v>
      </c>
      <c r="O604" s="38">
        <f>(M604*0.5)*12.5</f>
        <v>141.14433701657458</v>
      </c>
      <c r="P604" s="35">
        <f t="shared" si="70"/>
        <v>31.05</v>
      </c>
      <c r="Q604" s="40">
        <f t="shared" si="74"/>
        <v>282.28867403314916</v>
      </c>
      <c r="R604" s="35"/>
    </row>
    <row r="605" spans="1:18" x14ac:dyDescent="0.3">
      <c r="A605" s="32">
        <v>43721</v>
      </c>
      <c r="B605" s="33" t="s">
        <v>50</v>
      </c>
      <c r="C605" s="34">
        <v>1960</v>
      </c>
      <c r="D605" s="36">
        <v>59</v>
      </c>
      <c r="E605" s="35">
        <v>266.48</v>
      </c>
      <c r="F605" s="35">
        <v>1960</v>
      </c>
      <c r="G605" s="34">
        <v>266.48</v>
      </c>
      <c r="H605" s="34">
        <v>0</v>
      </c>
      <c r="I605" s="34">
        <v>2226.48</v>
      </c>
      <c r="J605" s="34">
        <v>367.39</v>
      </c>
      <c r="K605" s="34">
        <v>2593.87</v>
      </c>
      <c r="L605" s="33" t="s">
        <v>14</v>
      </c>
      <c r="M605" s="34">
        <f t="shared" si="71"/>
        <v>22.719183673469388</v>
      </c>
      <c r="N605" s="27">
        <v>98</v>
      </c>
      <c r="O605" s="38">
        <f>(M605*0.5)*19</f>
        <v>215.83224489795919</v>
      </c>
      <c r="P605" s="35">
        <f t="shared" si="70"/>
        <v>45.32</v>
      </c>
      <c r="Q605" s="40">
        <f t="shared" si="74"/>
        <v>431.66448979591837</v>
      </c>
      <c r="R605" s="35"/>
    </row>
    <row r="606" spans="1:18" x14ac:dyDescent="0.3">
      <c r="A606" s="32">
        <v>43735</v>
      </c>
      <c r="B606" s="33" t="s">
        <v>50</v>
      </c>
      <c r="C606" s="34">
        <v>2435</v>
      </c>
      <c r="D606" s="33">
        <v>80</v>
      </c>
      <c r="E606" s="35">
        <v>487.21</v>
      </c>
      <c r="F606" s="35">
        <v>2875</v>
      </c>
      <c r="G606" s="34">
        <v>487.21</v>
      </c>
      <c r="H606" s="34">
        <v>440</v>
      </c>
      <c r="I606" s="34">
        <v>3362.21</v>
      </c>
      <c r="J606" s="34">
        <v>472.89</v>
      </c>
      <c r="K606" s="34">
        <v>3835.1</v>
      </c>
      <c r="L606" s="33" t="s">
        <v>14</v>
      </c>
      <c r="M606" s="34">
        <f t="shared" si="71"/>
        <v>26.897680000000001</v>
      </c>
      <c r="N606" s="27">
        <v>125</v>
      </c>
      <c r="O606" s="34">
        <f t="shared" si="75"/>
        <v>605.19780000000003</v>
      </c>
      <c r="P606" s="35">
        <f t="shared" si="70"/>
        <v>127.09</v>
      </c>
      <c r="Q606" s="40">
        <f t="shared" si="74"/>
        <v>1210.3956000000001</v>
      </c>
      <c r="R606" s="35"/>
    </row>
    <row r="607" spans="1:18" x14ac:dyDescent="0.3">
      <c r="A607" s="32">
        <v>43749</v>
      </c>
      <c r="B607" s="33" t="s">
        <v>50</v>
      </c>
      <c r="C607" s="34">
        <v>2829</v>
      </c>
      <c r="D607" s="33">
        <v>80</v>
      </c>
      <c r="E607" s="35">
        <v>475.77</v>
      </c>
      <c r="F607" s="35">
        <v>2829</v>
      </c>
      <c r="G607" s="34">
        <v>475.77</v>
      </c>
      <c r="H607" s="34">
        <v>0</v>
      </c>
      <c r="I607" s="34">
        <v>3304.77</v>
      </c>
      <c r="J607" s="34">
        <v>467.55</v>
      </c>
      <c r="K607" s="34">
        <v>3772.32</v>
      </c>
      <c r="L607" s="33" t="s">
        <v>14</v>
      </c>
      <c r="M607" s="34">
        <f t="shared" si="71"/>
        <v>26.868048780487804</v>
      </c>
      <c r="N607" s="27">
        <v>123</v>
      </c>
      <c r="O607" s="34">
        <f t="shared" si="75"/>
        <v>577.66304878048777</v>
      </c>
      <c r="P607" s="35">
        <f t="shared" si="70"/>
        <v>115.53</v>
      </c>
      <c r="Q607" s="40">
        <f t="shared" si="74"/>
        <v>1155.3260975609755</v>
      </c>
      <c r="R607" s="35"/>
    </row>
    <row r="608" spans="1:18" x14ac:dyDescent="0.3">
      <c r="A608" s="32">
        <v>43763</v>
      </c>
      <c r="B608" s="33" t="s">
        <v>50</v>
      </c>
      <c r="C608" s="34">
        <v>2495</v>
      </c>
      <c r="D608" s="33">
        <v>80</v>
      </c>
      <c r="E608" s="35">
        <v>392.78</v>
      </c>
      <c r="F608" s="35">
        <v>2495</v>
      </c>
      <c r="G608" s="34">
        <v>392.78</v>
      </c>
      <c r="H608" s="34">
        <v>0</v>
      </c>
      <c r="I608" s="34">
        <v>2887.78</v>
      </c>
      <c r="J608" s="34">
        <v>428.81</v>
      </c>
      <c r="K608" s="34">
        <v>3316.59</v>
      </c>
      <c r="L608" s="33" t="s">
        <v>14</v>
      </c>
      <c r="M608" s="34">
        <f t="shared" si="71"/>
        <v>26.61548387096774</v>
      </c>
      <c r="N608" s="27">
        <v>108.5</v>
      </c>
      <c r="O608" s="34">
        <f t="shared" si="75"/>
        <v>379.2706451612903</v>
      </c>
      <c r="P608" s="35">
        <f t="shared" si="70"/>
        <v>75.849999999999994</v>
      </c>
      <c r="Q608" s="40">
        <f t="shared" si="74"/>
        <v>758.54129032258061</v>
      </c>
      <c r="R608" s="35"/>
    </row>
    <row r="609" spans="1:18" x14ac:dyDescent="0.3">
      <c r="A609" s="32">
        <v>43777</v>
      </c>
      <c r="B609" s="33" t="s">
        <v>50</v>
      </c>
      <c r="C609" s="34">
        <v>2852</v>
      </c>
      <c r="D609" s="33">
        <v>80</v>
      </c>
      <c r="E609" s="35">
        <v>481.5</v>
      </c>
      <c r="F609" s="35">
        <v>2852</v>
      </c>
      <c r="G609" s="34">
        <v>481.5</v>
      </c>
      <c r="H609" s="34">
        <v>0</v>
      </c>
      <c r="I609" s="34">
        <v>3333.5</v>
      </c>
      <c r="J609" s="34">
        <v>470.23</v>
      </c>
      <c r="K609" s="34">
        <v>3803.73</v>
      </c>
      <c r="L609" s="33" t="s">
        <v>14</v>
      </c>
      <c r="M609" s="34">
        <f t="shared" si="71"/>
        <v>26.991902834008098</v>
      </c>
      <c r="N609" s="27">
        <v>123.5</v>
      </c>
      <c r="O609" s="34">
        <f t="shared" si="75"/>
        <v>587.07388663967618</v>
      </c>
      <c r="P609" s="35">
        <f t="shared" si="70"/>
        <v>117.41</v>
      </c>
      <c r="Q609" s="40">
        <f t="shared" si="74"/>
        <v>1174.1477732793524</v>
      </c>
      <c r="R609" s="35"/>
    </row>
    <row r="610" spans="1:18" x14ac:dyDescent="0.3">
      <c r="A610" s="32">
        <v>43791</v>
      </c>
      <c r="B610" s="33" t="s">
        <v>50</v>
      </c>
      <c r="C610" s="34">
        <v>2219</v>
      </c>
      <c r="D610" s="33">
        <v>80</v>
      </c>
      <c r="E610" s="35">
        <v>324.19</v>
      </c>
      <c r="F610" s="35">
        <v>2219</v>
      </c>
      <c r="G610" s="34">
        <v>324.19</v>
      </c>
      <c r="H610" s="34">
        <v>0</v>
      </c>
      <c r="I610" s="34">
        <v>2543.19</v>
      </c>
      <c r="J610" s="34">
        <v>396.8</v>
      </c>
      <c r="K610" s="34">
        <v>2939.99</v>
      </c>
      <c r="L610" s="33" t="s">
        <v>14</v>
      </c>
      <c r="M610" s="34">
        <f t="shared" si="71"/>
        <v>26.354300518134714</v>
      </c>
      <c r="N610" s="27">
        <v>96.5</v>
      </c>
      <c r="O610" s="34">
        <f t="shared" si="75"/>
        <v>217.42297927461138</v>
      </c>
      <c r="P610" s="35">
        <f t="shared" si="70"/>
        <v>41.31</v>
      </c>
      <c r="Q610" s="40">
        <f t="shared" si="74"/>
        <v>434.84595854922276</v>
      </c>
      <c r="R610" s="35"/>
    </row>
    <row r="611" spans="1:18" x14ac:dyDescent="0.3">
      <c r="A611" s="32">
        <v>43805</v>
      </c>
      <c r="B611" s="33" t="s">
        <v>50</v>
      </c>
      <c r="C611" s="34">
        <v>1805</v>
      </c>
      <c r="D611" s="36">
        <v>52</v>
      </c>
      <c r="E611" s="35">
        <v>232.69</v>
      </c>
      <c r="F611" s="35">
        <v>1805</v>
      </c>
      <c r="G611" s="34">
        <v>232.69</v>
      </c>
      <c r="H611" s="34">
        <v>0</v>
      </c>
      <c r="I611" s="34">
        <v>2037.69</v>
      </c>
      <c r="J611" s="34">
        <v>330.16</v>
      </c>
      <c r="K611" s="34">
        <v>2367.85</v>
      </c>
      <c r="L611" s="33" t="s">
        <v>14</v>
      </c>
      <c r="M611" s="34">
        <f t="shared" si="71"/>
        <v>25.957834394904459</v>
      </c>
      <c r="N611" s="27">
        <v>78.5</v>
      </c>
      <c r="O611" s="38">
        <f>(M611*0.5)*12</f>
        <v>155.74700636942674</v>
      </c>
      <c r="P611" s="35">
        <f t="shared" si="70"/>
        <v>29.59</v>
      </c>
      <c r="Q611" s="40">
        <f t="shared" si="74"/>
        <v>311.49401273885348</v>
      </c>
      <c r="R611" s="35"/>
    </row>
    <row r="612" spans="1:18" x14ac:dyDescent="0.3">
      <c r="A612" s="32">
        <v>43819</v>
      </c>
      <c r="B612" s="33" t="s">
        <v>50</v>
      </c>
      <c r="C612" s="34">
        <v>2323</v>
      </c>
      <c r="D612" s="33">
        <v>80</v>
      </c>
      <c r="E612" s="35">
        <v>350.03</v>
      </c>
      <c r="F612" s="35">
        <v>2323</v>
      </c>
      <c r="G612" s="34">
        <v>350.03</v>
      </c>
      <c r="H612" s="34">
        <v>0</v>
      </c>
      <c r="I612" s="34">
        <v>2673.03</v>
      </c>
      <c r="J612" s="34">
        <v>365.02</v>
      </c>
      <c r="K612" s="34">
        <v>3038.05</v>
      </c>
      <c r="L612" s="33" t="s">
        <v>14</v>
      </c>
      <c r="M612" s="34">
        <f t="shared" si="71"/>
        <v>26.465643564356434</v>
      </c>
      <c r="N612" s="27">
        <v>101</v>
      </c>
      <c r="O612" s="34">
        <f t="shared" si="75"/>
        <v>277.88925742574253</v>
      </c>
      <c r="P612" s="35">
        <f t="shared" si="70"/>
        <v>50.02</v>
      </c>
      <c r="Q612" s="40">
        <f t="shared" si="74"/>
        <v>555.77851485148506</v>
      </c>
      <c r="R612" s="35"/>
    </row>
    <row r="613" spans="1:18" x14ac:dyDescent="0.3">
      <c r="A613" s="32">
        <v>43833</v>
      </c>
      <c r="B613" s="33" t="s">
        <v>50</v>
      </c>
      <c r="C613" s="34">
        <v>2070</v>
      </c>
      <c r="D613" s="36">
        <v>50.5</v>
      </c>
      <c r="E613" s="35">
        <v>286.26</v>
      </c>
      <c r="F613" s="35">
        <v>2070</v>
      </c>
      <c r="G613" s="34">
        <v>286.26</v>
      </c>
      <c r="H613" s="34">
        <v>0</v>
      </c>
      <c r="I613" s="34">
        <v>2356.2600000000002</v>
      </c>
      <c r="J613" s="34">
        <v>393.58</v>
      </c>
      <c r="K613" s="34">
        <v>2749.84</v>
      </c>
      <c r="L613" s="33" t="s">
        <v>14</v>
      </c>
      <c r="M613" s="34">
        <f t="shared" si="71"/>
        <v>26.326927374301679</v>
      </c>
      <c r="N613" s="27">
        <v>89.5</v>
      </c>
      <c r="O613" s="38">
        <f>(M613*0.5)*10.5</f>
        <v>138.2163687150838</v>
      </c>
      <c r="P613" s="35">
        <f t="shared" si="70"/>
        <v>24.88</v>
      </c>
      <c r="Q613" s="40">
        <f t="shared" si="74"/>
        <v>276.43273743016761</v>
      </c>
      <c r="R613" s="35"/>
    </row>
    <row r="614" spans="1:18" x14ac:dyDescent="0.3">
      <c r="A614" s="32">
        <v>43847</v>
      </c>
      <c r="B614" s="33" t="s">
        <v>50</v>
      </c>
      <c r="C614" s="34">
        <v>2081</v>
      </c>
      <c r="D614" s="36">
        <v>51.5</v>
      </c>
      <c r="E614" s="40"/>
      <c r="F614" s="35">
        <v>2081</v>
      </c>
      <c r="G614" s="34">
        <v>236.96</v>
      </c>
      <c r="H614" s="34">
        <v>0</v>
      </c>
      <c r="I614" s="34">
        <v>2317.96</v>
      </c>
      <c r="J614" s="34">
        <v>366.34</v>
      </c>
      <c r="K614" s="34">
        <v>2684.3</v>
      </c>
      <c r="L614" s="33" t="s">
        <v>14</v>
      </c>
      <c r="M614" s="34">
        <f t="shared" si="71"/>
        <v>22.994475138121548</v>
      </c>
      <c r="N614" s="27">
        <v>90.5</v>
      </c>
      <c r="O614" s="38">
        <f>(M614*0.5)*11.5</f>
        <v>132.21823204419888</v>
      </c>
      <c r="P614" s="35">
        <f t="shared" si="70"/>
        <v>22.48</v>
      </c>
      <c r="Q614" s="40">
        <f t="shared" si="74"/>
        <v>264.43646408839777</v>
      </c>
      <c r="R614" s="35"/>
    </row>
    <row r="615" spans="1:18" x14ac:dyDescent="0.3">
      <c r="A615" s="32">
        <v>43861</v>
      </c>
      <c r="B615" s="33" t="s">
        <v>50</v>
      </c>
      <c r="C615" s="34">
        <v>2334</v>
      </c>
      <c r="D615" s="33">
        <v>80</v>
      </c>
      <c r="E615" s="35"/>
      <c r="F615" s="35">
        <v>2346</v>
      </c>
      <c r="G615" s="34">
        <v>284.42</v>
      </c>
      <c r="H615" s="34">
        <v>12</v>
      </c>
      <c r="I615" s="34">
        <v>2630.42</v>
      </c>
      <c r="J615" s="34">
        <v>392.57</v>
      </c>
      <c r="K615" s="34">
        <v>3022.99</v>
      </c>
      <c r="L615" s="33" t="s">
        <v>14</v>
      </c>
      <c r="M615" s="34">
        <f t="shared" si="71"/>
        <v>23</v>
      </c>
      <c r="N615" s="27">
        <v>102</v>
      </c>
      <c r="O615" s="34">
        <f t="shared" si="75"/>
        <v>253</v>
      </c>
      <c r="P615" s="35">
        <f t="shared" ref="P615:P678" si="76">ROUND(((ROUNDDOWN(($W$1-A615)/30,0))/100)*O615,2)</f>
        <v>43.01</v>
      </c>
      <c r="Q615" s="40">
        <f t="shared" si="74"/>
        <v>506</v>
      </c>
      <c r="R615" s="35"/>
    </row>
    <row r="616" spans="1:18" x14ac:dyDescent="0.3">
      <c r="A616" s="32">
        <v>43875</v>
      </c>
      <c r="B616" s="33" t="s">
        <v>50</v>
      </c>
      <c r="C616" s="34">
        <v>2219</v>
      </c>
      <c r="D616" s="33">
        <v>80</v>
      </c>
      <c r="E616" s="35"/>
      <c r="F616" s="35">
        <v>2254</v>
      </c>
      <c r="G616" s="34">
        <v>259.12</v>
      </c>
      <c r="H616" s="34">
        <v>35</v>
      </c>
      <c r="I616" s="34">
        <v>2513.12</v>
      </c>
      <c r="J616" s="34">
        <v>323.11</v>
      </c>
      <c r="K616" s="34">
        <v>2836.23</v>
      </c>
      <c r="L616" s="33" t="s">
        <v>14</v>
      </c>
      <c r="M616" s="34">
        <f t="shared" si="71"/>
        <v>23</v>
      </c>
      <c r="N616" s="27">
        <v>98</v>
      </c>
      <c r="O616" s="34">
        <f t="shared" si="75"/>
        <v>207</v>
      </c>
      <c r="P616" s="35">
        <f t="shared" si="76"/>
        <v>33.119999999999997</v>
      </c>
      <c r="Q616" s="40">
        <f t="shared" si="74"/>
        <v>414</v>
      </c>
      <c r="R616" s="35"/>
    </row>
    <row r="617" spans="1:18" x14ac:dyDescent="0.3">
      <c r="A617" s="32">
        <v>43889</v>
      </c>
      <c r="B617" s="33" t="s">
        <v>50</v>
      </c>
      <c r="C617" s="34">
        <v>2081</v>
      </c>
      <c r="D617" s="33">
        <v>80</v>
      </c>
      <c r="E617" s="35"/>
      <c r="F617" s="35">
        <v>2081</v>
      </c>
      <c r="G617" s="34">
        <v>228.14</v>
      </c>
      <c r="H617" s="34">
        <v>0</v>
      </c>
      <c r="I617" s="34">
        <v>2309.14</v>
      </c>
      <c r="J617" s="34">
        <v>305.75</v>
      </c>
      <c r="K617" s="34">
        <v>2614.89</v>
      </c>
      <c r="L617" s="33" t="s">
        <v>14</v>
      </c>
      <c r="M617" s="34">
        <f t="shared" si="71"/>
        <v>22.994475138121548</v>
      </c>
      <c r="N617" s="27">
        <v>90.5</v>
      </c>
      <c r="O617" s="34">
        <f t="shared" si="75"/>
        <v>120.72099447513813</v>
      </c>
      <c r="P617" s="35">
        <f t="shared" si="76"/>
        <v>19.32</v>
      </c>
      <c r="Q617" s="40">
        <f t="shared" si="74"/>
        <v>241.44198895027625</v>
      </c>
      <c r="R617" s="35"/>
    </row>
    <row r="618" spans="1:18" x14ac:dyDescent="0.3">
      <c r="A618" s="32">
        <v>43903</v>
      </c>
      <c r="B618" s="33" t="s">
        <v>50</v>
      </c>
      <c r="C618" s="34">
        <v>2325</v>
      </c>
      <c r="D618" s="33">
        <v>80</v>
      </c>
      <c r="E618" s="35"/>
      <c r="F618" s="35">
        <v>2325</v>
      </c>
      <c r="G618" s="34">
        <v>271.83999999999997</v>
      </c>
      <c r="H618" s="34">
        <v>0</v>
      </c>
      <c r="I618" s="34">
        <v>2596.84</v>
      </c>
      <c r="J618" s="34">
        <v>328.42</v>
      </c>
      <c r="K618" s="34">
        <v>2925.26</v>
      </c>
      <c r="L618" s="33" t="s">
        <v>14</v>
      </c>
      <c r="M618" s="34">
        <f t="shared" si="71"/>
        <v>25</v>
      </c>
      <c r="N618" s="27">
        <v>93</v>
      </c>
      <c r="O618" s="34">
        <f t="shared" si="75"/>
        <v>162.5</v>
      </c>
      <c r="P618" s="35">
        <f t="shared" si="76"/>
        <v>24.38</v>
      </c>
      <c r="Q618" s="40">
        <f t="shared" si="74"/>
        <v>325</v>
      </c>
      <c r="R618" s="35"/>
    </row>
    <row r="619" spans="1:18" x14ac:dyDescent="0.3">
      <c r="A619" s="32">
        <v>43917</v>
      </c>
      <c r="B619" s="33" t="s">
        <v>50</v>
      </c>
      <c r="C619" s="34">
        <v>3624.32</v>
      </c>
      <c r="D619" s="30">
        <v>76</v>
      </c>
      <c r="E619" s="40"/>
      <c r="F619" s="49">
        <v>2166</v>
      </c>
      <c r="G619" s="34">
        <v>241.68</v>
      </c>
      <c r="H619" s="34">
        <v>0</v>
      </c>
      <c r="I619" s="34">
        <v>3866</v>
      </c>
      <c r="J619" s="34">
        <v>308.01</v>
      </c>
      <c r="K619" s="34">
        <v>4174.01</v>
      </c>
      <c r="L619" s="33" t="s">
        <v>14</v>
      </c>
      <c r="M619" s="34">
        <f t="shared" si="71"/>
        <v>28.5</v>
      </c>
      <c r="N619" s="27">
        <v>76</v>
      </c>
      <c r="O619" s="34">
        <v>0</v>
      </c>
      <c r="P619" s="35">
        <f t="shared" si="76"/>
        <v>0</v>
      </c>
      <c r="Q619" s="40">
        <f t="shared" si="74"/>
        <v>0</v>
      </c>
      <c r="R619" s="35"/>
    </row>
    <row r="620" spans="1:18" x14ac:dyDescent="0.3">
      <c r="A620" s="32">
        <v>43931</v>
      </c>
      <c r="B620" s="33" t="s">
        <v>50</v>
      </c>
      <c r="C620" s="34">
        <v>1033.07</v>
      </c>
      <c r="D620" s="30">
        <v>24</v>
      </c>
      <c r="E620" s="35"/>
      <c r="F620" s="35">
        <v>1140</v>
      </c>
      <c r="G620" s="34">
        <v>106.93</v>
      </c>
      <c r="H620" s="34">
        <v>0</v>
      </c>
      <c r="I620" s="34">
        <v>1140</v>
      </c>
      <c r="J620" s="34">
        <v>162.12</v>
      </c>
      <c r="K620" s="34">
        <v>1302.1199999999999</v>
      </c>
      <c r="L620" s="33" t="s">
        <v>14</v>
      </c>
      <c r="M620" s="34">
        <f t="shared" si="71"/>
        <v>47.5</v>
      </c>
      <c r="N620" s="27">
        <v>24</v>
      </c>
      <c r="O620" s="34">
        <v>0</v>
      </c>
      <c r="P620" s="35">
        <f t="shared" si="76"/>
        <v>0</v>
      </c>
      <c r="Q620" s="40">
        <f t="shared" si="74"/>
        <v>0</v>
      </c>
      <c r="R620" s="35"/>
    </row>
    <row r="621" spans="1:18" hidden="1" x14ac:dyDescent="0.3">
      <c r="A621" s="37" t="s">
        <v>77</v>
      </c>
      <c r="B621" s="33" t="s">
        <v>50</v>
      </c>
      <c r="C621" s="34">
        <v>500</v>
      </c>
      <c r="D621" s="36">
        <v>19.36</v>
      </c>
      <c r="E621" s="30"/>
      <c r="F621" s="33">
        <v>551.76</v>
      </c>
      <c r="G621" s="34">
        <v>51.76</v>
      </c>
      <c r="H621" s="34">
        <v>0</v>
      </c>
      <c r="I621" s="34">
        <v>551.76</v>
      </c>
      <c r="J621" s="34">
        <v>78.28</v>
      </c>
      <c r="K621" s="34">
        <v>630.04</v>
      </c>
      <c r="L621" s="33" t="s">
        <v>14</v>
      </c>
      <c r="M621" s="34" t="e">
        <f t="shared" si="71"/>
        <v>#DIV/0!</v>
      </c>
      <c r="N621" s="27"/>
      <c r="O621" s="34" t="e">
        <f t="shared" si="75"/>
        <v>#DIV/0!</v>
      </c>
      <c r="P621" s="35" t="e">
        <f t="shared" si="76"/>
        <v>#VALUE!</v>
      </c>
      <c r="Q621" s="34" t="e">
        <f t="shared" ref="Q621:Q657" si="77">O621*1.5</f>
        <v>#DIV/0!</v>
      </c>
      <c r="R621" s="35"/>
    </row>
    <row r="622" spans="1:18" hidden="1" x14ac:dyDescent="0.3">
      <c r="A622" s="37" t="s">
        <v>77</v>
      </c>
      <c r="B622" s="33" t="s">
        <v>50</v>
      </c>
      <c r="C622" s="34">
        <v>700.11</v>
      </c>
      <c r="D622" s="36">
        <v>27.11</v>
      </c>
      <c r="E622" s="33"/>
      <c r="F622" s="33">
        <v>772.58</v>
      </c>
      <c r="G622" s="34">
        <v>72.47</v>
      </c>
      <c r="H622" s="34">
        <v>0</v>
      </c>
      <c r="I622" s="34">
        <v>772.58</v>
      </c>
      <c r="J622" s="34">
        <v>109.61</v>
      </c>
      <c r="K622" s="34">
        <v>882.19</v>
      </c>
      <c r="L622" s="33" t="s">
        <v>14</v>
      </c>
      <c r="M622" s="34" t="e">
        <f t="shared" si="71"/>
        <v>#DIV/0!</v>
      </c>
      <c r="N622" s="27"/>
      <c r="O622" s="34" t="e">
        <f t="shared" si="75"/>
        <v>#DIV/0!</v>
      </c>
      <c r="P622" s="35" t="e">
        <f t="shared" si="76"/>
        <v>#VALUE!</v>
      </c>
      <c r="Q622" s="34" t="e">
        <f t="shared" si="77"/>
        <v>#DIV/0!</v>
      </c>
      <c r="R622" s="35"/>
    </row>
    <row r="623" spans="1:18" hidden="1" x14ac:dyDescent="0.3">
      <c r="A623" s="37" t="s">
        <v>77</v>
      </c>
      <c r="B623" s="33" t="s">
        <v>50</v>
      </c>
      <c r="C623" s="34">
        <v>1033.07</v>
      </c>
      <c r="D623" s="36">
        <v>40.5</v>
      </c>
      <c r="E623" s="33"/>
      <c r="F623" s="33">
        <v>1140</v>
      </c>
      <c r="G623" s="34">
        <v>106.93</v>
      </c>
      <c r="H623" s="34">
        <v>0</v>
      </c>
      <c r="I623" s="34">
        <v>1140</v>
      </c>
      <c r="J623" s="34">
        <v>161.72999999999999</v>
      </c>
      <c r="K623" s="34">
        <v>1301.73</v>
      </c>
      <c r="L623" s="33" t="s">
        <v>14</v>
      </c>
      <c r="M623" s="34" t="e">
        <f t="shared" si="71"/>
        <v>#DIV/0!</v>
      </c>
      <c r="N623" s="27"/>
      <c r="O623" s="34" t="e">
        <f t="shared" si="75"/>
        <v>#DIV/0!</v>
      </c>
      <c r="P623" s="35" t="e">
        <f t="shared" si="76"/>
        <v>#VALUE!</v>
      </c>
      <c r="Q623" s="34" t="e">
        <f t="shared" si="77"/>
        <v>#DIV/0!</v>
      </c>
      <c r="R623" s="35"/>
    </row>
    <row r="624" spans="1:18" x14ac:dyDescent="0.3">
      <c r="A624" s="32">
        <v>43987</v>
      </c>
      <c r="B624" s="33" t="s">
        <v>50</v>
      </c>
      <c r="C624" s="34">
        <v>1855.39</v>
      </c>
      <c r="D624" s="33">
        <v>73</v>
      </c>
      <c r="E624" s="35"/>
      <c r="F624" s="35">
        <v>2080.5</v>
      </c>
      <c r="G624" s="34">
        <v>225.11</v>
      </c>
      <c r="H624" s="34">
        <v>0</v>
      </c>
      <c r="I624" s="34">
        <v>2080.5</v>
      </c>
      <c r="J624" s="34">
        <v>295.16000000000003</v>
      </c>
      <c r="K624" s="34">
        <v>2375.66</v>
      </c>
      <c r="L624" s="33" t="s">
        <v>14</v>
      </c>
      <c r="M624" s="34">
        <f t="shared" ref="M624:M699" si="78">(E624+F624)/N624</f>
        <v>28.5</v>
      </c>
      <c r="N624" s="27">
        <v>73</v>
      </c>
      <c r="O624" s="38">
        <f>(M624*0.5)*0.5</f>
        <v>7.125</v>
      </c>
      <c r="P624" s="35">
        <f t="shared" si="76"/>
        <v>0.93</v>
      </c>
      <c r="Q624" s="40">
        <f t="shared" ref="Q624:Q627" si="79">O624*2</f>
        <v>14.25</v>
      </c>
      <c r="R624" s="35"/>
    </row>
    <row r="625" spans="1:18" x14ac:dyDescent="0.3">
      <c r="A625" s="32">
        <v>43995</v>
      </c>
      <c r="B625" s="33" t="s">
        <v>50</v>
      </c>
      <c r="C625" s="34">
        <v>2123.5300000000002</v>
      </c>
      <c r="D625" s="30">
        <v>81</v>
      </c>
      <c r="E625" s="35"/>
      <c r="F625" s="49">
        <v>2622</v>
      </c>
      <c r="G625" s="34"/>
      <c r="H625" s="34"/>
      <c r="I625" s="34"/>
      <c r="J625" s="34"/>
      <c r="K625" s="34"/>
      <c r="L625" s="33"/>
      <c r="M625" s="38">
        <v>24.61</v>
      </c>
      <c r="N625" s="27">
        <v>81</v>
      </c>
      <c r="O625" s="42">
        <v>0</v>
      </c>
      <c r="P625" s="35">
        <f t="shared" si="76"/>
        <v>0</v>
      </c>
      <c r="Q625" s="40">
        <f t="shared" si="79"/>
        <v>0</v>
      </c>
      <c r="R625" s="35"/>
    </row>
    <row r="626" spans="1:18" x14ac:dyDescent="0.3">
      <c r="A626" s="32">
        <v>44009</v>
      </c>
      <c r="B626" s="33" t="s">
        <v>50</v>
      </c>
      <c r="C626" s="34">
        <v>2579.4699999999998</v>
      </c>
      <c r="D626" s="30">
        <v>96.5</v>
      </c>
      <c r="E626" s="35"/>
      <c r="F626" s="35">
        <v>2985.38</v>
      </c>
      <c r="G626" s="34"/>
      <c r="H626" s="34"/>
      <c r="I626" s="34"/>
      <c r="J626" s="34"/>
      <c r="K626" s="34"/>
      <c r="L626" s="33"/>
      <c r="M626" s="38">
        <v>24.61</v>
      </c>
      <c r="N626" s="27">
        <v>96.5</v>
      </c>
      <c r="O626" s="42">
        <v>0</v>
      </c>
      <c r="P626" s="35">
        <f t="shared" si="76"/>
        <v>0</v>
      </c>
      <c r="Q626" s="40">
        <f t="shared" si="79"/>
        <v>0</v>
      </c>
      <c r="R626" s="35"/>
    </row>
    <row r="627" spans="1:18" x14ac:dyDescent="0.3">
      <c r="A627" s="32">
        <v>44023</v>
      </c>
      <c r="B627" s="33" t="s">
        <v>50</v>
      </c>
      <c r="C627" s="34">
        <v>2717.67</v>
      </c>
      <c r="D627" s="30">
        <v>106.5</v>
      </c>
      <c r="E627" s="35"/>
      <c r="F627" s="35">
        <v>3412.88</v>
      </c>
      <c r="G627" s="34"/>
      <c r="H627" s="34"/>
      <c r="I627" s="34"/>
      <c r="J627" s="34"/>
      <c r="K627" s="34"/>
      <c r="L627" s="33"/>
      <c r="M627" s="38">
        <v>24.61</v>
      </c>
      <c r="N627" s="27">
        <v>106.5</v>
      </c>
      <c r="O627" s="42">
        <v>0</v>
      </c>
      <c r="P627" s="35">
        <f t="shared" si="76"/>
        <v>0</v>
      </c>
      <c r="Q627" s="40">
        <f t="shared" si="79"/>
        <v>0</v>
      </c>
      <c r="R627" s="35"/>
    </row>
    <row r="628" spans="1:18" hidden="1" x14ac:dyDescent="0.3">
      <c r="A628" s="37" t="s">
        <v>77</v>
      </c>
      <c r="B628" s="33" t="s">
        <v>51</v>
      </c>
      <c r="C628" s="34">
        <v>819</v>
      </c>
      <c r="D628" s="33">
        <v>45</v>
      </c>
      <c r="E628" s="33">
        <v>96.23</v>
      </c>
      <c r="F628" s="33">
        <v>819</v>
      </c>
      <c r="G628" s="34">
        <v>96.23</v>
      </c>
      <c r="H628" s="34">
        <v>0</v>
      </c>
      <c r="I628" s="34">
        <v>915.23</v>
      </c>
      <c r="J628" s="34">
        <v>180.81</v>
      </c>
      <c r="K628" s="34">
        <v>1096.04</v>
      </c>
      <c r="L628" s="33">
        <v>100183</v>
      </c>
      <c r="M628" s="34" t="e">
        <f t="shared" si="78"/>
        <v>#DIV/0!</v>
      </c>
      <c r="N628" s="27"/>
      <c r="O628" s="34" t="e">
        <f t="shared" si="75"/>
        <v>#DIV/0!</v>
      </c>
      <c r="P628" s="35" t="e">
        <f t="shared" si="76"/>
        <v>#VALUE!</v>
      </c>
      <c r="Q628" s="34" t="e">
        <f t="shared" si="77"/>
        <v>#DIV/0!</v>
      </c>
      <c r="R628" s="35">
        <v>409.55</v>
      </c>
    </row>
    <row r="629" spans="1:18" hidden="1" x14ac:dyDescent="0.3">
      <c r="A629" s="37" t="s">
        <v>77</v>
      </c>
      <c r="B629" s="33" t="s">
        <v>51</v>
      </c>
      <c r="C629" s="34">
        <v>1098</v>
      </c>
      <c r="D629" s="33">
        <v>50</v>
      </c>
      <c r="E629" s="33">
        <v>123.07</v>
      </c>
      <c r="F629" s="33">
        <v>1098</v>
      </c>
      <c r="G629" s="34">
        <v>123.07</v>
      </c>
      <c r="H629" s="34">
        <v>0</v>
      </c>
      <c r="I629" s="34">
        <v>1221.07</v>
      </c>
      <c r="J629" s="34">
        <v>221.11</v>
      </c>
      <c r="K629" s="34">
        <v>1442.18</v>
      </c>
      <c r="L629" s="33">
        <v>100184</v>
      </c>
      <c r="M629" s="34" t="e">
        <f t="shared" si="78"/>
        <v>#DIV/0!</v>
      </c>
      <c r="N629" s="27"/>
      <c r="O629" s="34" t="e">
        <f t="shared" si="75"/>
        <v>#DIV/0!</v>
      </c>
      <c r="P629" s="35" t="e">
        <f t="shared" si="76"/>
        <v>#VALUE!</v>
      </c>
      <c r="Q629" s="34" t="e">
        <f t="shared" si="77"/>
        <v>#DIV/0!</v>
      </c>
      <c r="R629" s="35"/>
    </row>
    <row r="630" spans="1:18" x14ac:dyDescent="0.3">
      <c r="A630" s="32">
        <v>43735</v>
      </c>
      <c r="B630" s="33" t="s">
        <v>51</v>
      </c>
      <c r="C630" s="34">
        <v>2962</v>
      </c>
      <c r="D630" s="33">
        <v>80</v>
      </c>
      <c r="E630" s="35">
        <v>618.6</v>
      </c>
      <c r="F630" s="35">
        <v>3402</v>
      </c>
      <c r="G630" s="34">
        <v>618.16</v>
      </c>
      <c r="H630" s="34">
        <v>440</v>
      </c>
      <c r="I630" s="34">
        <v>4020.16</v>
      </c>
      <c r="J630" s="34">
        <v>558.12</v>
      </c>
      <c r="K630" s="34">
        <v>4578.28</v>
      </c>
      <c r="L630" s="33" t="s">
        <v>14</v>
      </c>
      <c r="M630" s="34">
        <f t="shared" si="78"/>
        <v>26.278431372549019</v>
      </c>
      <c r="N630" s="27">
        <v>153</v>
      </c>
      <c r="O630" s="34">
        <f t="shared" si="75"/>
        <v>959.16274509803918</v>
      </c>
      <c r="P630" s="35">
        <f t="shared" si="76"/>
        <v>201.42</v>
      </c>
      <c r="Q630" s="40">
        <f t="shared" ref="Q630:Q644" si="80">O630*2</f>
        <v>1918.3254901960784</v>
      </c>
      <c r="R630" s="35">
        <v>556.29999999999995</v>
      </c>
    </row>
    <row r="631" spans="1:18" x14ac:dyDescent="0.3">
      <c r="A631" s="32">
        <v>43749</v>
      </c>
      <c r="B631" s="33" t="s">
        <v>51</v>
      </c>
      <c r="C631" s="34">
        <v>2835</v>
      </c>
      <c r="D631" s="33">
        <v>80</v>
      </c>
      <c r="E631" s="35">
        <v>477.27</v>
      </c>
      <c r="F631" s="35">
        <v>2835</v>
      </c>
      <c r="G631" s="34">
        <v>477.27</v>
      </c>
      <c r="H631" s="34">
        <v>0</v>
      </c>
      <c r="I631" s="34">
        <v>3312.27</v>
      </c>
      <c r="J631" s="34">
        <v>473.31</v>
      </c>
      <c r="K631" s="34">
        <v>3785.58</v>
      </c>
      <c r="L631" s="33" t="s">
        <v>14</v>
      </c>
      <c r="M631" s="34">
        <f t="shared" si="78"/>
        <v>21.030285714285714</v>
      </c>
      <c r="N631" s="27">
        <v>157.5</v>
      </c>
      <c r="O631" s="34">
        <f t="shared" si="75"/>
        <v>814.92357142857145</v>
      </c>
      <c r="P631" s="35">
        <f t="shared" si="76"/>
        <v>162.97999999999999</v>
      </c>
      <c r="Q631" s="40">
        <f t="shared" si="80"/>
        <v>1629.8471428571429</v>
      </c>
      <c r="R631" s="35"/>
    </row>
    <row r="632" spans="1:18" x14ac:dyDescent="0.3">
      <c r="A632" s="32">
        <v>43763</v>
      </c>
      <c r="B632" s="33" t="s">
        <v>51</v>
      </c>
      <c r="C632" s="34">
        <v>1944</v>
      </c>
      <c r="D632" s="33">
        <v>80</v>
      </c>
      <c r="E632" s="35">
        <v>262.98</v>
      </c>
      <c r="F632" s="35">
        <v>1944</v>
      </c>
      <c r="G632" s="34">
        <v>262.98</v>
      </c>
      <c r="H632" s="34">
        <v>0</v>
      </c>
      <c r="I632" s="34">
        <v>2206.98</v>
      </c>
      <c r="J632" s="34">
        <v>365.56</v>
      </c>
      <c r="K632" s="34">
        <v>2572.54</v>
      </c>
      <c r="L632" s="33" t="s">
        <v>14</v>
      </c>
      <c r="M632" s="34">
        <f t="shared" si="78"/>
        <v>20.434999999999999</v>
      </c>
      <c r="N632" s="27">
        <v>108</v>
      </c>
      <c r="O632" s="34">
        <f t="shared" si="75"/>
        <v>286.08999999999997</v>
      </c>
      <c r="P632" s="35">
        <f t="shared" si="76"/>
        <v>57.22</v>
      </c>
      <c r="Q632" s="40">
        <f t="shared" si="80"/>
        <v>572.17999999999995</v>
      </c>
      <c r="R632" s="35"/>
    </row>
    <row r="633" spans="1:18" x14ac:dyDescent="0.3">
      <c r="A633" s="32">
        <v>43777</v>
      </c>
      <c r="B633" s="33" t="s">
        <v>51</v>
      </c>
      <c r="C633" s="34">
        <v>2322</v>
      </c>
      <c r="D633" s="33">
        <v>80</v>
      </c>
      <c r="E633" s="35">
        <v>349.8</v>
      </c>
      <c r="F633" s="35">
        <v>2322</v>
      </c>
      <c r="G633" s="34">
        <v>349.8</v>
      </c>
      <c r="H633" s="34">
        <v>0</v>
      </c>
      <c r="I633" s="34">
        <v>2671.8</v>
      </c>
      <c r="J633" s="34">
        <v>408.76</v>
      </c>
      <c r="K633" s="34">
        <v>3080.56</v>
      </c>
      <c r="L633" s="33" t="s">
        <v>14</v>
      </c>
      <c r="M633" s="34">
        <f t="shared" si="78"/>
        <v>20.711627906976744</v>
      </c>
      <c r="N633" s="27">
        <v>129</v>
      </c>
      <c r="O633" s="34">
        <f t="shared" si="75"/>
        <v>507.43488372093026</v>
      </c>
      <c r="P633" s="35">
        <f t="shared" si="76"/>
        <v>101.49</v>
      </c>
      <c r="Q633" s="40">
        <f t="shared" si="80"/>
        <v>1014.8697674418605</v>
      </c>
      <c r="R633" s="35"/>
    </row>
    <row r="634" spans="1:18" x14ac:dyDescent="0.3">
      <c r="A634" s="32">
        <v>43791</v>
      </c>
      <c r="B634" s="33" t="s">
        <v>51</v>
      </c>
      <c r="C634" s="34">
        <v>2025</v>
      </c>
      <c r="D634" s="33">
        <v>80</v>
      </c>
      <c r="E634" s="35">
        <v>280.64999999999998</v>
      </c>
      <c r="F634" s="35">
        <v>2025</v>
      </c>
      <c r="G634" s="34">
        <v>280.64999999999998</v>
      </c>
      <c r="H634" s="34">
        <v>0</v>
      </c>
      <c r="I634" s="34">
        <v>2305.65</v>
      </c>
      <c r="J634" s="34">
        <v>374.73</v>
      </c>
      <c r="K634" s="34">
        <v>2680.38</v>
      </c>
      <c r="L634" s="33" t="s">
        <v>14</v>
      </c>
      <c r="M634" s="34">
        <f t="shared" si="78"/>
        <v>20.494666666666667</v>
      </c>
      <c r="N634" s="27">
        <v>112.5</v>
      </c>
      <c r="O634" s="34">
        <f t="shared" si="75"/>
        <v>333.03833333333336</v>
      </c>
      <c r="P634" s="35">
        <f t="shared" si="76"/>
        <v>63.28</v>
      </c>
      <c r="Q634" s="40">
        <f t="shared" si="80"/>
        <v>666.07666666666671</v>
      </c>
      <c r="R634" s="35"/>
    </row>
    <row r="635" spans="1:18" x14ac:dyDescent="0.3">
      <c r="A635" s="32">
        <v>43805</v>
      </c>
      <c r="B635" s="33" t="s">
        <v>51</v>
      </c>
      <c r="C635" s="34">
        <v>1880</v>
      </c>
      <c r="D635" s="36">
        <v>64.5</v>
      </c>
      <c r="E635" s="35">
        <v>249.04</v>
      </c>
      <c r="F635" s="35">
        <v>1880</v>
      </c>
      <c r="G635" s="34">
        <v>249.04</v>
      </c>
      <c r="H635" s="34">
        <v>0</v>
      </c>
      <c r="I635" s="34">
        <v>2129.04</v>
      </c>
      <c r="J635" s="34">
        <v>358.33</v>
      </c>
      <c r="K635" s="34">
        <v>2487.37</v>
      </c>
      <c r="L635" s="33" t="s">
        <v>14</v>
      </c>
      <c r="M635" s="34">
        <f t="shared" si="78"/>
        <v>22.64936170212766</v>
      </c>
      <c r="N635" s="27">
        <v>94</v>
      </c>
      <c r="O635" s="38">
        <f>(M635*0.5)*24.5</f>
        <v>277.45468085106381</v>
      </c>
      <c r="P635" s="35">
        <f t="shared" si="76"/>
        <v>52.72</v>
      </c>
      <c r="Q635" s="40">
        <f t="shared" si="80"/>
        <v>554.90936170212763</v>
      </c>
      <c r="R635" s="35"/>
    </row>
    <row r="636" spans="1:18" x14ac:dyDescent="0.3">
      <c r="A636" s="32">
        <v>43819</v>
      </c>
      <c r="B636" s="33" t="s">
        <v>51</v>
      </c>
      <c r="C636" s="34">
        <v>2110</v>
      </c>
      <c r="D636" s="33">
        <v>80</v>
      </c>
      <c r="E636" s="35">
        <v>299.2</v>
      </c>
      <c r="F636" s="35">
        <v>2110</v>
      </c>
      <c r="G636" s="34">
        <v>299.2</v>
      </c>
      <c r="H636" s="34">
        <v>0</v>
      </c>
      <c r="I636" s="34">
        <v>2409.1999999999998</v>
      </c>
      <c r="J636" s="34">
        <v>384.36</v>
      </c>
      <c r="K636" s="34">
        <v>2793.56</v>
      </c>
      <c r="L636" s="33" t="s">
        <v>14</v>
      </c>
      <c r="M636" s="34">
        <f t="shared" si="78"/>
        <v>22.728301886792451</v>
      </c>
      <c r="N636" s="27">
        <v>106</v>
      </c>
      <c r="O636" s="34">
        <f t="shared" si="75"/>
        <v>295.46792452830186</v>
      </c>
      <c r="P636" s="35">
        <f t="shared" si="76"/>
        <v>53.18</v>
      </c>
      <c r="Q636" s="40">
        <f t="shared" si="80"/>
        <v>590.93584905660373</v>
      </c>
      <c r="R636" s="35"/>
    </row>
    <row r="637" spans="1:18" x14ac:dyDescent="0.3">
      <c r="A637" s="32">
        <v>43833</v>
      </c>
      <c r="B637" s="33" t="s">
        <v>51</v>
      </c>
      <c r="C637" s="34">
        <v>1750</v>
      </c>
      <c r="D637" s="36">
        <v>50</v>
      </c>
      <c r="E637" s="35">
        <v>216.47</v>
      </c>
      <c r="F637" s="35">
        <v>1750</v>
      </c>
      <c r="G637" s="34">
        <v>216.47</v>
      </c>
      <c r="H637" s="34">
        <v>0</v>
      </c>
      <c r="I637" s="34">
        <v>1966.47</v>
      </c>
      <c r="J637" s="34">
        <v>355.02</v>
      </c>
      <c r="K637" s="34">
        <v>2321.4899999999998</v>
      </c>
      <c r="L637" s="33" t="s">
        <v>14</v>
      </c>
      <c r="M637" s="34">
        <f t="shared" si="78"/>
        <v>22.473942857142859</v>
      </c>
      <c r="N637" s="27">
        <v>87.5</v>
      </c>
      <c r="O637" s="38">
        <f>(M637*0.5)*10</f>
        <v>112.36971428571429</v>
      </c>
      <c r="P637" s="35">
        <f t="shared" si="76"/>
        <v>20.23</v>
      </c>
      <c r="Q637" s="40">
        <f t="shared" si="80"/>
        <v>224.73942857142859</v>
      </c>
      <c r="R637" s="35"/>
    </row>
    <row r="638" spans="1:18" x14ac:dyDescent="0.3">
      <c r="A638" s="32">
        <v>43847</v>
      </c>
      <c r="B638" s="33" t="s">
        <v>51</v>
      </c>
      <c r="C638" s="34">
        <v>1730</v>
      </c>
      <c r="D638" s="33">
        <v>80</v>
      </c>
      <c r="E638" s="35"/>
      <c r="F638" s="35">
        <v>1730</v>
      </c>
      <c r="G638" s="34">
        <v>179.22</v>
      </c>
      <c r="H638" s="34">
        <v>0</v>
      </c>
      <c r="I638" s="34">
        <v>1909.22</v>
      </c>
      <c r="J638" s="34">
        <v>331.64</v>
      </c>
      <c r="K638" s="34">
        <v>2240.86</v>
      </c>
      <c r="L638" s="33" t="s">
        <v>14</v>
      </c>
      <c r="M638" s="34">
        <f t="shared" si="78"/>
        <v>20</v>
      </c>
      <c r="N638" s="27">
        <v>86.5</v>
      </c>
      <c r="O638" s="34">
        <f t="shared" si="75"/>
        <v>65</v>
      </c>
      <c r="P638" s="35">
        <f t="shared" si="76"/>
        <v>11.05</v>
      </c>
      <c r="Q638" s="40">
        <f t="shared" si="80"/>
        <v>130</v>
      </c>
      <c r="R638" s="35"/>
    </row>
    <row r="639" spans="1:18" x14ac:dyDescent="0.3">
      <c r="A639" s="32">
        <v>43861</v>
      </c>
      <c r="B639" s="33" t="s">
        <v>51</v>
      </c>
      <c r="C639" s="34">
        <v>2100</v>
      </c>
      <c r="D639" s="33">
        <v>80</v>
      </c>
      <c r="E639" s="35"/>
      <c r="F639" s="35">
        <v>2100</v>
      </c>
      <c r="G639" s="34">
        <v>240.37</v>
      </c>
      <c r="H639" s="34">
        <v>0</v>
      </c>
      <c r="I639" s="34">
        <v>2340.37</v>
      </c>
      <c r="J639" s="34">
        <v>368.23</v>
      </c>
      <c r="K639" s="34">
        <v>2708.6</v>
      </c>
      <c r="L639" s="33" t="s">
        <v>14</v>
      </c>
      <c r="M639" s="34">
        <f t="shared" si="78"/>
        <v>20</v>
      </c>
      <c r="N639" s="27">
        <v>105</v>
      </c>
      <c r="O639" s="34">
        <f t="shared" si="75"/>
        <v>250</v>
      </c>
      <c r="P639" s="35">
        <f t="shared" si="76"/>
        <v>42.5</v>
      </c>
      <c r="Q639" s="40">
        <f t="shared" si="80"/>
        <v>500</v>
      </c>
      <c r="R639" s="35"/>
    </row>
    <row r="640" spans="1:18" x14ac:dyDescent="0.3">
      <c r="A640" s="32">
        <v>43875</v>
      </c>
      <c r="B640" s="33" t="s">
        <v>51</v>
      </c>
      <c r="C640" s="34">
        <v>1940</v>
      </c>
      <c r="D640" s="36">
        <v>60</v>
      </c>
      <c r="E640" s="35"/>
      <c r="F640" s="35">
        <v>1940</v>
      </c>
      <c r="G640" s="34">
        <v>202.91</v>
      </c>
      <c r="H640" s="34">
        <v>0</v>
      </c>
      <c r="I640" s="34">
        <v>2142.91</v>
      </c>
      <c r="J640" s="34">
        <v>299.87</v>
      </c>
      <c r="K640" s="34">
        <v>2442.7800000000002</v>
      </c>
      <c r="L640" s="33" t="s">
        <v>14</v>
      </c>
      <c r="M640" s="34">
        <f t="shared" si="78"/>
        <v>20</v>
      </c>
      <c r="N640" s="27">
        <v>97</v>
      </c>
      <c r="O640" s="38">
        <f>(M640*0.5)*20</f>
        <v>200</v>
      </c>
      <c r="P640" s="35">
        <f t="shared" si="76"/>
        <v>32</v>
      </c>
      <c r="Q640" s="40">
        <f t="shared" si="80"/>
        <v>400</v>
      </c>
      <c r="R640" s="35"/>
    </row>
    <row r="641" spans="1:19" x14ac:dyDescent="0.3">
      <c r="A641" s="32">
        <v>43889</v>
      </c>
      <c r="B641" s="33" t="s">
        <v>51</v>
      </c>
      <c r="C641" s="34">
        <v>1880</v>
      </c>
      <c r="D641" s="33">
        <v>80</v>
      </c>
      <c r="E641" s="35"/>
      <c r="F641" s="35">
        <v>1880</v>
      </c>
      <c r="G641" s="34">
        <v>192.17</v>
      </c>
      <c r="H641" s="34">
        <v>0</v>
      </c>
      <c r="I641" s="34">
        <v>2072.17</v>
      </c>
      <c r="J641" s="34">
        <v>287.08</v>
      </c>
      <c r="K641" s="34">
        <v>2359.25</v>
      </c>
      <c r="L641" s="33" t="s">
        <v>14</v>
      </c>
      <c r="M641" s="34">
        <f t="shared" si="78"/>
        <v>20</v>
      </c>
      <c r="N641" s="27">
        <v>94</v>
      </c>
      <c r="O641" s="34">
        <f t="shared" si="75"/>
        <v>140</v>
      </c>
      <c r="P641" s="35">
        <f t="shared" si="76"/>
        <v>22.4</v>
      </c>
      <c r="Q641" s="40">
        <f t="shared" si="80"/>
        <v>280</v>
      </c>
      <c r="R641" s="35"/>
    </row>
    <row r="642" spans="1:19" x14ac:dyDescent="0.3">
      <c r="A642" s="29">
        <v>43903</v>
      </c>
      <c r="B642" s="33" t="s">
        <v>51</v>
      </c>
      <c r="C642" s="34">
        <v>1870</v>
      </c>
      <c r="D642" s="33">
        <v>80</v>
      </c>
      <c r="E642" s="35"/>
      <c r="F642" s="35">
        <v>1870</v>
      </c>
      <c r="G642" s="34">
        <v>190.37</v>
      </c>
      <c r="H642" s="34">
        <v>0</v>
      </c>
      <c r="I642" s="34">
        <v>2060.37</v>
      </c>
      <c r="J642" s="34">
        <v>286.13</v>
      </c>
      <c r="K642" s="34">
        <v>2346.5</v>
      </c>
      <c r="L642" s="33" t="s">
        <v>14</v>
      </c>
      <c r="M642" s="34">
        <f t="shared" si="78"/>
        <v>20</v>
      </c>
      <c r="N642" s="27">
        <v>93.5</v>
      </c>
      <c r="O642" s="34">
        <f t="shared" si="75"/>
        <v>135</v>
      </c>
      <c r="P642" s="35">
        <f t="shared" si="76"/>
        <v>20.25</v>
      </c>
      <c r="Q642" s="40">
        <f t="shared" si="80"/>
        <v>270</v>
      </c>
      <c r="R642" s="35"/>
    </row>
    <row r="643" spans="1:19" x14ac:dyDescent="0.3">
      <c r="A643" s="32">
        <v>43917</v>
      </c>
      <c r="B643" s="33" t="s">
        <v>51</v>
      </c>
      <c r="C643" s="34">
        <v>1785.86</v>
      </c>
      <c r="D643" s="33">
        <v>86</v>
      </c>
      <c r="E643" s="35"/>
      <c r="F643" s="49">
        <v>2002.5</v>
      </c>
      <c r="G643" s="34">
        <v>216.64</v>
      </c>
      <c r="H643" s="34">
        <v>0</v>
      </c>
      <c r="I643" s="34">
        <v>2002.5</v>
      </c>
      <c r="J643" s="34">
        <v>306.89</v>
      </c>
      <c r="K643" s="34">
        <v>2309.39</v>
      </c>
      <c r="L643" s="33" t="s">
        <v>14</v>
      </c>
      <c r="M643" s="34">
        <f t="shared" si="78"/>
        <v>23.284883720930232</v>
      </c>
      <c r="N643" s="27">
        <v>86</v>
      </c>
      <c r="O643" s="38">
        <v>0</v>
      </c>
      <c r="P643" s="35">
        <f t="shared" si="76"/>
        <v>0</v>
      </c>
      <c r="Q643" s="40">
        <f t="shared" si="80"/>
        <v>0</v>
      </c>
      <c r="R643" s="35"/>
    </row>
    <row r="644" spans="1:19" x14ac:dyDescent="0.3">
      <c r="A644" s="32">
        <v>43931</v>
      </c>
      <c r="B644" s="33" t="s">
        <v>51</v>
      </c>
      <c r="C644" s="34">
        <v>812.03</v>
      </c>
      <c r="D644" s="30">
        <v>24</v>
      </c>
      <c r="E644" s="35"/>
      <c r="F644" s="35">
        <v>900</v>
      </c>
      <c r="G644" s="34">
        <v>87.97</v>
      </c>
      <c r="H644" s="34">
        <v>0</v>
      </c>
      <c r="I644" s="34">
        <v>900</v>
      </c>
      <c r="J644" s="34">
        <v>139.82</v>
      </c>
      <c r="K644" s="34">
        <v>1039.82</v>
      </c>
      <c r="L644" s="33" t="s">
        <v>14</v>
      </c>
      <c r="M644" s="34">
        <f t="shared" si="78"/>
        <v>37.5</v>
      </c>
      <c r="N644" s="27">
        <v>24</v>
      </c>
      <c r="O644" s="34">
        <v>0</v>
      </c>
      <c r="P644" s="35">
        <f t="shared" si="76"/>
        <v>0</v>
      </c>
      <c r="Q644" s="40">
        <f t="shared" si="80"/>
        <v>0</v>
      </c>
      <c r="R644" s="35"/>
    </row>
    <row r="645" spans="1:19" hidden="1" x14ac:dyDescent="0.3">
      <c r="A645" s="37" t="s">
        <v>77</v>
      </c>
      <c r="B645" s="33" t="s">
        <v>51</v>
      </c>
      <c r="C645" s="34">
        <v>500.01</v>
      </c>
      <c r="D645" s="36">
        <v>24.63</v>
      </c>
      <c r="E645" s="33"/>
      <c r="F645" s="33">
        <v>554.17999999999995</v>
      </c>
      <c r="G645" s="34">
        <v>54.17</v>
      </c>
      <c r="H645" s="34">
        <v>0</v>
      </c>
      <c r="I645" s="34">
        <v>554.17999999999995</v>
      </c>
      <c r="J645" s="34">
        <v>88.1</v>
      </c>
      <c r="K645" s="34">
        <v>642.28</v>
      </c>
      <c r="L645" s="33" t="s">
        <v>14</v>
      </c>
      <c r="M645" s="34" t="e">
        <f t="shared" si="78"/>
        <v>#DIV/0!</v>
      </c>
      <c r="N645" s="27"/>
      <c r="O645" s="34" t="e">
        <f t="shared" si="75"/>
        <v>#DIV/0!</v>
      </c>
      <c r="P645" s="35" t="e">
        <f t="shared" si="76"/>
        <v>#VALUE!</v>
      </c>
      <c r="Q645" s="34" t="e">
        <f t="shared" si="77"/>
        <v>#DIV/0!</v>
      </c>
      <c r="R645" s="35"/>
    </row>
    <row r="646" spans="1:19" hidden="1" x14ac:dyDescent="0.3">
      <c r="A646" s="37" t="s">
        <v>77</v>
      </c>
      <c r="B646" s="33" t="s">
        <v>51</v>
      </c>
      <c r="C646" s="34">
        <v>700.4</v>
      </c>
      <c r="D646" s="36">
        <v>34.5</v>
      </c>
      <c r="E646" s="33"/>
      <c r="F646" s="33">
        <v>776.25</v>
      </c>
      <c r="G646" s="34">
        <v>75.849999999999994</v>
      </c>
      <c r="H646" s="34">
        <v>0</v>
      </c>
      <c r="I646" s="34">
        <v>776.25</v>
      </c>
      <c r="J646" s="34">
        <v>123.38</v>
      </c>
      <c r="K646" s="34">
        <v>899.63</v>
      </c>
      <c r="L646" s="33" t="s">
        <v>14</v>
      </c>
      <c r="M646" s="34" t="e">
        <f t="shared" si="78"/>
        <v>#DIV/0!</v>
      </c>
      <c r="N646" s="27"/>
      <c r="O646" s="34" t="e">
        <f t="shared" si="75"/>
        <v>#DIV/0!</v>
      </c>
      <c r="P646" s="35" t="e">
        <f t="shared" si="76"/>
        <v>#VALUE!</v>
      </c>
      <c r="Q646" s="34" t="e">
        <f t="shared" si="77"/>
        <v>#DIV/0!</v>
      </c>
      <c r="R646" s="35"/>
    </row>
    <row r="647" spans="1:19" hidden="1" x14ac:dyDescent="0.3">
      <c r="A647" s="37" t="s">
        <v>77</v>
      </c>
      <c r="B647" s="33" t="s">
        <v>51</v>
      </c>
      <c r="C647" s="34">
        <v>300</v>
      </c>
      <c r="D647" s="36">
        <v>14.78</v>
      </c>
      <c r="E647" s="33"/>
      <c r="F647" s="33">
        <v>332.5</v>
      </c>
      <c r="G647" s="34">
        <v>32.5</v>
      </c>
      <c r="H647" s="34">
        <v>0</v>
      </c>
      <c r="I647" s="34">
        <v>332.5</v>
      </c>
      <c r="J647" s="34">
        <v>52.86</v>
      </c>
      <c r="K647" s="34">
        <v>385.36</v>
      </c>
      <c r="L647" s="33" t="s">
        <v>14</v>
      </c>
      <c r="M647" s="34" t="e">
        <f t="shared" si="78"/>
        <v>#DIV/0!</v>
      </c>
      <c r="N647" s="27"/>
      <c r="O647" s="34" t="e">
        <f t="shared" si="75"/>
        <v>#DIV/0!</v>
      </c>
      <c r="P647" s="35" t="e">
        <f t="shared" si="76"/>
        <v>#VALUE!</v>
      </c>
      <c r="Q647" s="34" t="e">
        <f t="shared" si="77"/>
        <v>#DIV/0!</v>
      </c>
      <c r="R647" s="35"/>
    </row>
    <row r="648" spans="1:19" x14ac:dyDescent="0.3">
      <c r="A648" s="32">
        <v>43987</v>
      </c>
      <c r="B648" s="33" t="s">
        <v>51</v>
      </c>
      <c r="C648" s="34">
        <v>649.63</v>
      </c>
      <c r="D648" s="30">
        <v>32.5</v>
      </c>
      <c r="E648" s="35"/>
      <c r="F648" s="35">
        <v>720</v>
      </c>
      <c r="G648" s="34">
        <v>70.37</v>
      </c>
      <c r="H648" s="34">
        <v>0</v>
      </c>
      <c r="I648" s="34">
        <v>720</v>
      </c>
      <c r="J648" s="34">
        <v>114.46</v>
      </c>
      <c r="K648" s="34">
        <v>834.46</v>
      </c>
      <c r="L648" s="33" t="s">
        <v>14</v>
      </c>
      <c r="M648" s="34">
        <f t="shared" si="78"/>
        <v>22.153846153846153</v>
      </c>
      <c r="N648" s="27">
        <v>32.5</v>
      </c>
      <c r="O648" s="34">
        <v>0</v>
      </c>
      <c r="P648" s="35">
        <f t="shared" si="76"/>
        <v>0</v>
      </c>
      <c r="Q648" s="40">
        <f t="shared" ref="Q648:Q654" si="81">O648*2</f>
        <v>0</v>
      </c>
      <c r="R648" s="35"/>
    </row>
    <row r="649" spans="1:19" x14ac:dyDescent="0.3">
      <c r="A649" s="29">
        <v>43995</v>
      </c>
      <c r="B649" s="33" t="s">
        <v>51</v>
      </c>
      <c r="C649" s="34">
        <v>1441.37</v>
      </c>
      <c r="D649" s="31">
        <v>71</v>
      </c>
      <c r="E649" s="35"/>
      <c r="F649" s="40">
        <v>1597</v>
      </c>
      <c r="G649" s="34"/>
      <c r="H649" s="34"/>
      <c r="I649" s="34"/>
      <c r="J649" s="34"/>
      <c r="K649" s="34"/>
      <c r="L649" s="33"/>
      <c r="M649" s="38">
        <v>22.48</v>
      </c>
      <c r="N649" s="27">
        <v>71</v>
      </c>
      <c r="O649" s="42">
        <v>0</v>
      </c>
      <c r="P649" s="35">
        <f t="shared" si="76"/>
        <v>0</v>
      </c>
      <c r="Q649" s="40">
        <f t="shared" si="81"/>
        <v>0</v>
      </c>
      <c r="R649" s="35"/>
    </row>
    <row r="650" spans="1:19" x14ac:dyDescent="0.3">
      <c r="A650" s="32">
        <v>44009</v>
      </c>
      <c r="B650" s="33" t="s">
        <v>51</v>
      </c>
      <c r="C650" s="34">
        <v>1744.95</v>
      </c>
      <c r="D650" s="31">
        <v>84.5</v>
      </c>
      <c r="E650" s="35"/>
      <c r="F650" s="35">
        <v>1951.88</v>
      </c>
      <c r="G650" s="34"/>
      <c r="H650" s="34"/>
      <c r="I650" s="34"/>
      <c r="J650" s="34"/>
      <c r="K650" s="34"/>
      <c r="L650" s="33"/>
      <c r="M650" s="38">
        <v>22.48</v>
      </c>
      <c r="N650" s="27">
        <v>84.5</v>
      </c>
      <c r="O650" s="50">
        <f>(M650*0.5)*0.5</f>
        <v>5.62</v>
      </c>
      <c r="P650" s="35">
        <f t="shared" si="76"/>
        <v>0.67</v>
      </c>
      <c r="Q650" s="40">
        <f t="shared" si="81"/>
        <v>11.24</v>
      </c>
      <c r="R650" s="35"/>
    </row>
    <row r="651" spans="1:19" x14ac:dyDescent="0.3">
      <c r="A651" s="32">
        <v>44023</v>
      </c>
      <c r="B651" s="33" t="s">
        <v>51</v>
      </c>
      <c r="C651" s="34">
        <v>1858.74</v>
      </c>
      <c r="D651" s="31">
        <v>37.5</v>
      </c>
      <c r="E651" s="35"/>
      <c r="F651" s="35">
        <v>2340</v>
      </c>
      <c r="G651" s="34"/>
      <c r="H651" s="34"/>
      <c r="I651" s="34"/>
      <c r="J651" s="34"/>
      <c r="K651" s="34"/>
      <c r="L651" s="33"/>
      <c r="M651" s="38">
        <v>22.48</v>
      </c>
      <c r="N651" s="27">
        <v>96</v>
      </c>
      <c r="O651" s="50">
        <f>(M651*1.5)*2.5</f>
        <v>84.3</v>
      </c>
      <c r="P651" s="35">
        <f t="shared" si="76"/>
        <v>9.27</v>
      </c>
      <c r="Q651" s="40">
        <f t="shared" si="81"/>
        <v>168.6</v>
      </c>
      <c r="R651" s="35"/>
      <c r="S651" s="74"/>
    </row>
    <row r="652" spans="1:19" x14ac:dyDescent="0.3">
      <c r="A652" s="32">
        <v>43889</v>
      </c>
      <c r="B652" s="33" t="s">
        <v>52</v>
      </c>
      <c r="C652" s="34">
        <v>1665</v>
      </c>
      <c r="D652" s="33">
        <v>80</v>
      </c>
      <c r="E652" s="35"/>
      <c r="F652" s="35">
        <v>1665</v>
      </c>
      <c r="G652" s="34">
        <v>165.25</v>
      </c>
      <c r="H652" s="34">
        <v>0</v>
      </c>
      <c r="I652" s="34">
        <v>1830.25</v>
      </c>
      <c r="J652" s="34">
        <v>277.08</v>
      </c>
      <c r="K652" s="34">
        <v>2107.33</v>
      </c>
      <c r="L652" s="33">
        <v>100197</v>
      </c>
      <c r="M652" s="34">
        <f t="shared" si="78"/>
        <v>18</v>
      </c>
      <c r="N652" s="27">
        <v>92.5</v>
      </c>
      <c r="O652" s="34">
        <f t="shared" si="75"/>
        <v>112.5</v>
      </c>
      <c r="P652" s="35">
        <f t="shared" si="76"/>
        <v>18</v>
      </c>
      <c r="Q652" s="40">
        <f t="shared" si="81"/>
        <v>225</v>
      </c>
      <c r="R652" s="35">
        <v>556.29999999999995</v>
      </c>
    </row>
    <row r="653" spans="1:19" x14ac:dyDescent="0.3">
      <c r="A653" s="32">
        <v>43903</v>
      </c>
      <c r="B653" s="33" t="s">
        <v>52</v>
      </c>
      <c r="C653" s="34">
        <v>1656</v>
      </c>
      <c r="D653" s="30">
        <v>64</v>
      </c>
      <c r="E653" s="35"/>
      <c r="F653" s="35">
        <v>1656</v>
      </c>
      <c r="G653" s="34">
        <v>164.54</v>
      </c>
      <c r="H653" s="34">
        <v>0</v>
      </c>
      <c r="I653" s="34">
        <v>1820.54</v>
      </c>
      <c r="J653" s="34">
        <v>276.2</v>
      </c>
      <c r="K653" s="34">
        <v>2096.7399999999998</v>
      </c>
      <c r="L653" s="33">
        <v>100201</v>
      </c>
      <c r="M653" s="34">
        <f t="shared" si="78"/>
        <v>25.875</v>
      </c>
      <c r="N653" s="27">
        <v>64</v>
      </c>
      <c r="O653" s="34">
        <v>0</v>
      </c>
      <c r="P653" s="35">
        <f t="shared" si="76"/>
        <v>0</v>
      </c>
      <c r="Q653" s="40">
        <f t="shared" si="81"/>
        <v>0</v>
      </c>
      <c r="R653" s="35"/>
    </row>
    <row r="654" spans="1:19" x14ac:dyDescent="0.3">
      <c r="A654" s="32">
        <v>43917</v>
      </c>
      <c r="B654" s="33" t="s">
        <v>52</v>
      </c>
      <c r="C654" s="34">
        <v>1616.21</v>
      </c>
      <c r="D654" s="33">
        <v>85</v>
      </c>
      <c r="E654" s="35"/>
      <c r="F654" s="49">
        <v>1793.75</v>
      </c>
      <c r="G654" s="34">
        <v>177.54</v>
      </c>
      <c r="H654" s="34">
        <v>0</v>
      </c>
      <c r="I654" s="34">
        <v>1793.75</v>
      </c>
      <c r="J654" s="34">
        <v>296.83999999999997</v>
      </c>
      <c r="K654" s="34">
        <v>2090.59</v>
      </c>
      <c r="L654" s="33">
        <v>100204</v>
      </c>
      <c r="M654" s="34">
        <f t="shared" si="78"/>
        <v>21.102941176470587</v>
      </c>
      <c r="N654" s="27">
        <v>85</v>
      </c>
      <c r="O654" s="38">
        <v>0</v>
      </c>
      <c r="P654" s="35">
        <f t="shared" si="76"/>
        <v>0</v>
      </c>
      <c r="Q654" s="40">
        <f t="shared" si="81"/>
        <v>0</v>
      </c>
      <c r="R654" s="35"/>
    </row>
    <row r="655" spans="1:19" hidden="1" x14ac:dyDescent="0.3">
      <c r="A655" s="37" t="s">
        <v>77</v>
      </c>
      <c r="B655" s="33" t="s">
        <v>52</v>
      </c>
      <c r="C655" s="34">
        <v>738.36</v>
      </c>
      <c r="D655" s="33">
        <v>40</v>
      </c>
      <c r="E655" s="33"/>
      <c r="F655" s="33">
        <v>820</v>
      </c>
      <c r="G655" s="34">
        <v>81.64</v>
      </c>
      <c r="H655" s="34">
        <v>0</v>
      </c>
      <c r="I655" s="34">
        <v>820</v>
      </c>
      <c r="J655" s="34">
        <v>137.30000000000001</v>
      </c>
      <c r="K655" s="34">
        <v>957.3</v>
      </c>
      <c r="L655" s="33">
        <v>100207</v>
      </c>
      <c r="M655" s="34" t="e">
        <f t="shared" si="78"/>
        <v>#DIV/0!</v>
      </c>
      <c r="N655" s="27"/>
      <c r="O655" s="34" t="e">
        <f t="shared" si="75"/>
        <v>#DIV/0!</v>
      </c>
      <c r="P655" s="35" t="e">
        <f t="shared" si="76"/>
        <v>#VALUE!</v>
      </c>
      <c r="Q655" s="34" t="e">
        <f t="shared" si="77"/>
        <v>#DIV/0!</v>
      </c>
      <c r="R655" s="35"/>
    </row>
    <row r="656" spans="1:19" hidden="1" x14ac:dyDescent="0.3">
      <c r="A656" s="37" t="s">
        <v>77</v>
      </c>
      <c r="B656" s="33" t="s">
        <v>52</v>
      </c>
      <c r="C656" s="34">
        <v>500.04</v>
      </c>
      <c r="D656" s="33">
        <v>27.09</v>
      </c>
      <c r="E656" s="33"/>
      <c r="F656" s="33">
        <v>555.35</v>
      </c>
      <c r="G656" s="34">
        <v>55.31</v>
      </c>
      <c r="H656" s="34">
        <v>0</v>
      </c>
      <c r="I656" s="34">
        <v>555.35</v>
      </c>
      <c r="J656" s="34">
        <v>96.03</v>
      </c>
      <c r="K656" s="34">
        <v>651.38</v>
      </c>
      <c r="L656" s="33">
        <v>100210</v>
      </c>
      <c r="M656" s="34" t="e">
        <f t="shared" si="78"/>
        <v>#DIV/0!</v>
      </c>
      <c r="N656" s="27"/>
      <c r="O656" s="34" t="e">
        <f t="shared" si="75"/>
        <v>#DIV/0!</v>
      </c>
      <c r="P656" s="35" t="e">
        <f t="shared" si="76"/>
        <v>#VALUE!</v>
      </c>
      <c r="Q656" s="34" t="e">
        <f t="shared" si="77"/>
        <v>#DIV/0!</v>
      </c>
      <c r="R656" s="35"/>
    </row>
    <row r="657" spans="1:19" hidden="1" x14ac:dyDescent="0.3">
      <c r="A657" s="37" t="s">
        <v>77</v>
      </c>
      <c r="B657" s="33" t="s">
        <v>52</v>
      </c>
      <c r="C657" s="34">
        <v>700.06</v>
      </c>
      <c r="D657" s="33">
        <v>37.92</v>
      </c>
      <c r="E657" s="33"/>
      <c r="F657" s="33">
        <v>777.46</v>
      </c>
      <c r="G657" s="34">
        <v>77.400000000000006</v>
      </c>
      <c r="H657" s="34">
        <v>0</v>
      </c>
      <c r="I657" s="34">
        <v>777.46</v>
      </c>
      <c r="J657" s="34">
        <v>132.78</v>
      </c>
      <c r="K657" s="34">
        <v>910.24</v>
      </c>
      <c r="L657" s="33">
        <v>100214</v>
      </c>
      <c r="M657" s="34" t="e">
        <f t="shared" si="78"/>
        <v>#DIV/0!</v>
      </c>
      <c r="N657" s="27"/>
      <c r="O657" s="34" t="e">
        <f t="shared" si="75"/>
        <v>#DIV/0!</v>
      </c>
      <c r="P657" s="35" t="e">
        <f t="shared" si="76"/>
        <v>#VALUE!</v>
      </c>
      <c r="Q657" s="34" t="e">
        <f t="shared" si="77"/>
        <v>#DIV/0!</v>
      </c>
      <c r="R657" s="35"/>
    </row>
    <row r="658" spans="1:19" x14ac:dyDescent="0.3">
      <c r="A658" s="32">
        <v>43973</v>
      </c>
      <c r="B658" s="33" t="s">
        <v>52</v>
      </c>
      <c r="C658" s="34">
        <v>1476.72</v>
      </c>
      <c r="D658" s="33">
        <v>80</v>
      </c>
      <c r="E658" s="35"/>
      <c r="F658" s="35">
        <v>1640</v>
      </c>
      <c r="G658" s="34">
        <v>163.28</v>
      </c>
      <c r="H658" s="34">
        <v>0</v>
      </c>
      <c r="I658" s="34">
        <v>1640</v>
      </c>
      <c r="J658" s="34">
        <v>273.68</v>
      </c>
      <c r="K658" s="34">
        <v>1913.68</v>
      </c>
      <c r="L658" s="33">
        <v>100217</v>
      </c>
      <c r="M658" s="34">
        <f t="shared" si="78"/>
        <v>20.5</v>
      </c>
      <c r="N658" s="27">
        <v>80</v>
      </c>
      <c r="O658" s="34">
        <f t="shared" si="75"/>
        <v>0</v>
      </c>
      <c r="P658" s="35">
        <f t="shared" si="76"/>
        <v>0</v>
      </c>
      <c r="Q658" s="40">
        <f t="shared" ref="Q658:Q667" si="82">O658*2</f>
        <v>0</v>
      </c>
      <c r="R658" s="35"/>
    </row>
    <row r="659" spans="1:19" x14ac:dyDescent="0.3">
      <c r="A659" s="32">
        <v>43987</v>
      </c>
      <c r="B659" s="33" t="s">
        <v>52</v>
      </c>
      <c r="C659" s="34">
        <v>2114.66</v>
      </c>
      <c r="D659" s="33">
        <v>96</v>
      </c>
      <c r="E659" s="35"/>
      <c r="F659" s="49">
        <v>2340</v>
      </c>
      <c r="G659" s="34">
        <v>225.34</v>
      </c>
      <c r="H659" s="34">
        <v>0</v>
      </c>
      <c r="I659" s="34">
        <v>2340</v>
      </c>
      <c r="J659" s="34">
        <v>357.36</v>
      </c>
      <c r="K659" s="34">
        <v>2697.36</v>
      </c>
      <c r="L659" s="33">
        <v>100220</v>
      </c>
      <c r="M659" s="34">
        <f t="shared" si="78"/>
        <v>24.248704663212436</v>
      </c>
      <c r="N659" s="27">
        <v>96.5</v>
      </c>
      <c r="O659" s="38">
        <f>(M659*0.5)*0.5</f>
        <v>6.062176165803109</v>
      </c>
      <c r="P659" s="35">
        <f t="shared" si="76"/>
        <v>0.79</v>
      </c>
      <c r="Q659" s="40">
        <f t="shared" si="82"/>
        <v>12.124352331606218</v>
      </c>
      <c r="R659" s="35"/>
    </row>
    <row r="660" spans="1:19" x14ac:dyDescent="0.3">
      <c r="A660" s="32">
        <v>43995</v>
      </c>
      <c r="B660" s="33" t="s">
        <v>52</v>
      </c>
      <c r="C660" s="34">
        <v>2133.4499999999998</v>
      </c>
      <c r="D660" s="31">
        <v>52</v>
      </c>
      <c r="E660" s="35"/>
      <c r="F660" s="49">
        <v>2626.88</v>
      </c>
      <c r="G660" s="34"/>
      <c r="H660" s="34"/>
      <c r="I660" s="34"/>
      <c r="J660" s="34"/>
      <c r="K660" s="34"/>
      <c r="L660" s="33"/>
      <c r="M660" s="38">
        <v>21.95</v>
      </c>
      <c r="N660" s="27">
        <v>52</v>
      </c>
      <c r="O660" s="42">
        <v>0</v>
      </c>
      <c r="P660" s="35">
        <f t="shared" si="76"/>
        <v>0</v>
      </c>
      <c r="Q660" s="40">
        <f t="shared" si="82"/>
        <v>0</v>
      </c>
      <c r="R660" s="35"/>
      <c r="S660" s="74"/>
    </row>
    <row r="661" spans="1:19" x14ac:dyDescent="0.3">
      <c r="A661" s="32">
        <v>44009</v>
      </c>
      <c r="B661" s="33" t="s">
        <v>52</v>
      </c>
      <c r="C661" s="34">
        <v>2160.67</v>
      </c>
      <c r="D661" s="31">
        <v>97.5</v>
      </c>
      <c r="E661" s="35"/>
      <c r="F661" s="40">
        <v>2390.63</v>
      </c>
      <c r="G661" s="34"/>
      <c r="H661" s="34"/>
      <c r="I661" s="34"/>
      <c r="J661" s="34"/>
      <c r="K661" s="34"/>
      <c r="L661" s="33"/>
      <c r="M661" s="38">
        <v>21.95</v>
      </c>
      <c r="N661" s="27">
        <v>97.5</v>
      </c>
      <c r="O661" s="42">
        <v>0</v>
      </c>
      <c r="P661" s="35">
        <f t="shared" si="76"/>
        <v>0</v>
      </c>
      <c r="Q661" s="40">
        <f t="shared" si="82"/>
        <v>0</v>
      </c>
      <c r="R661" s="35"/>
    </row>
    <row r="662" spans="1:19" x14ac:dyDescent="0.3">
      <c r="A662" s="32">
        <v>44023</v>
      </c>
      <c r="B662" s="33" t="s">
        <v>52</v>
      </c>
      <c r="C662" s="34">
        <v>1322.56</v>
      </c>
      <c r="D662" s="31">
        <v>74</v>
      </c>
      <c r="E662" s="35"/>
      <c r="F662" s="40">
        <v>1687.5</v>
      </c>
      <c r="G662" s="34"/>
      <c r="H662" s="34"/>
      <c r="I662" s="34"/>
      <c r="J662" s="34"/>
      <c r="K662" s="34"/>
      <c r="L662" s="33"/>
      <c r="M662" s="38">
        <v>21.95</v>
      </c>
      <c r="N662" s="27">
        <v>74</v>
      </c>
      <c r="O662" s="42">
        <v>0</v>
      </c>
      <c r="P662" s="35">
        <f t="shared" si="76"/>
        <v>0</v>
      </c>
      <c r="Q662" s="40">
        <f t="shared" si="82"/>
        <v>0</v>
      </c>
      <c r="R662" s="35"/>
    </row>
    <row r="663" spans="1:19" x14ac:dyDescent="0.3">
      <c r="A663" s="32">
        <v>43875</v>
      </c>
      <c r="B663" s="33" t="s">
        <v>53</v>
      </c>
      <c r="C663" s="34">
        <v>612</v>
      </c>
      <c r="D663" s="36">
        <v>34</v>
      </c>
      <c r="E663" s="35"/>
      <c r="F663" s="35">
        <v>612</v>
      </c>
      <c r="G663" s="34">
        <v>76.180000000000007</v>
      </c>
      <c r="H663" s="34">
        <v>0</v>
      </c>
      <c r="I663" s="34">
        <v>688.18</v>
      </c>
      <c r="J663" s="34">
        <v>108.29</v>
      </c>
      <c r="K663" s="34">
        <v>796.47</v>
      </c>
      <c r="L663" s="33">
        <v>100195</v>
      </c>
      <c r="M663" s="34">
        <f t="shared" si="78"/>
        <v>18</v>
      </c>
      <c r="N663" s="27">
        <v>34</v>
      </c>
      <c r="O663" s="34">
        <v>0</v>
      </c>
      <c r="P663" s="35">
        <f t="shared" si="76"/>
        <v>0</v>
      </c>
      <c r="Q663" s="40">
        <f t="shared" si="82"/>
        <v>0</v>
      </c>
      <c r="R663" s="35">
        <v>556.29999999999995</v>
      </c>
    </row>
    <row r="664" spans="1:19" x14ac:dyDescent="0.3">
      <c r="A664" s="32">
        <v>43889</v>
      </c>
      <c r="B664" s="33" t="s">
        <v>53</v>
      </c>
      <c r="C664" s="34">
        <v>1669</v>
      </c>
      <c r="D664" s="33">
        <v>80</v>
      </c>
      <c r="E664" s="35"/>
      <c r="F664" s="35">
        <v>1719</v>
      </c>
      <c r="G664" s="34">
        <v>310.98</v>
      </c>
      <c r="H664" s="34">
        <v>50</v>
      </c>
      <c r="I664" s="34">
        <v>2029.98</v>
      </c>
      <c r="J664" s="34">
        <v>282.44</v>
      </c>
      <c r="K664" s="34">
        <v>2312.42</v>
      </c>
      <c r="L664" s="33">
        <v>100198</v>
      </c>
      <c r="M664" s="34">
        <f t="shared" si="78"/>
        <v>18</v>
      </c>
      <c r="N664" s="27">
        <v>95.5</v>
      </c>
      <c r="O664" s="34">
        <f t="shared" si="75"/>
        <v>139.5</v>
      </c>
      <c r="P664" s="35">
        <f t="shared" si="76"/>
        <v>22.32</v>
      </c>
      <c r="Q664" s="40">
        <f t="shared" si="82"/>
        <v>279</v>
      </c>
      <c r="R664" s="35"/>
    </row>
    <row r="665" spans="1:19" x14ac:dyDescent="0.3">
      <c r="A665" s="32">
        <v>43903</v>
      </c>
      <c r="B665" s="33" t="s">
        <v>53</v>
      </c>
      <c r="C665" s="34">
        <v>1651</v>
      </c>
      <c r="D665" s="33">
        <v>80</v>
      </c>
      <c r="E665" s="35"/>
      <c r="F665" s="35">
        <v>1701</v>
      </c>
      <c r="G665" s="34">
        <v>307.38</v>
      </c>
      <c r="H665" s="34">
        <v>50</v>
      </c>
      <c r="I665" s="34">
        <v>2008.38</v>
      </c>
      <c r="J665" s="34">
        <v>280.64</v>
      </c>
      <c r="K665" s="34">
        <v>2289.02</v>
      </c>
      <c r="L665" s="33" t="s">
        <v>14</v>
      </c>
      <c r="M665" s="34">
        <f t="shared" si="78"/>
        <v>18</v>
      </c>
      <c r="N665" s="27">
        <v>94.5</v>
      </c>
      <c r="O665" s="34">
        <f t="shared" si="75"/>
        <v>130.5</v>
      </c>
      <c r="P665" s="35">
        <f t="shared" si="76"/>
        <v>19.579999999999998</v>
      </c>
      <c r="Q665" s="40">
        <f t="shared" si="82"/>
        <v>261</v>
      </c>
      <c r="R665" s="35"/>
    </row>
    <row r="666" spans="1:19" x14ac:dyDescent="0.3">
      <c r="A666" s="32">
        <v>43917</v>
      </c>
      <c r="B666" s="33" t="s">
        <v>53</v>
      </c>
      <c r="C666" s="34">
        <v>1406.57</v>
      </c>
      <c r="D666" s="36">
        <v>45</v>
      </c>
      <c r="E666" s="35"/>
      <c r="F666" s="49">
        <v>1763</v>
      </c>
      <c r="G666" s="34">
        <v>321.43</v>
      </c>
      <c r="H666" s="34">
        <v>35</v>
      </c>
      <c r="I666" s="34">
        <v>1763</v>
      </c>
      <c r="J666" s="34">
        <v>292.41000000000003</v>
      </c>
      <c r="K666" s="34">
        <v>2055.41</v>
      </c>
      <c r="L666" s="33" t="s">
        <v>14</v>
      </c>
      <c r="M666" s="34">
        <f t="shared" si="78"/>
        <v>20.988095238095237</v>
      </c>
      <c r="N666" s="27">
        <v>84</v>
      </c>
      <c r="O666" s="38">
        <f>(M666*0.5)*1</f>
        <v>10.494047619047619</v>
      </c>
      <c r="P666" s="35">
        <f t="shared" si="76"/>
        <v>1.57</v>
      </c>
      <c r="Q666" s="40">
        <f t="shared" si="82"/>
        <v>20.988095238095237</v>
      </c>
      <c r="R666" s="35"/>
    </row>
    <row r="667" spans="1:19" x14ac:dyDescent="0.3">
      <c r="A667" s="32">
        <v>43931</v>
      </c>
      <c r="B667" s="33" t="s">
        <v>53</v>
      </c>
      <c r="C667" s="34">
        <v>738.36</v>
      </c>
      <c r="D667" s="36">
        <v>24</v>
      </c>
      <c r="E667" s="35"/>
      <c r="F667" s="35">
        <v>820</v>
      </c>
      <c r="G667" s="34">
        <v>81.64</v>
      </c>
      <c r="H667" s="34">
        <v>0</v>
      </c>
      <c r="I667" s="34">
        <v>820</v>
      </c>
      <c r="J667" s="34">
        <v>137.30000000000001</v>
      </c>
      <c r="K667" s="34">
        <v>957.3</v>
      </c>
      <c r="L667" s="33" t="s">
        <v>14</v>
      </c>
      <c r="M667" s="34">
        <f t="shared" si="78"/>
        <v>34.166666666666664</v>
      </c>
      <c r="N667" s="27">
        <v>24</v>
      </c>
      <c r="O667" s="34">
        <v>0</v>
      </c>
      <c r="P667" s="35">
        <f t="shared" si="76"/>
        <v>0</v>
      </c>
      <c r="Q667" s="40">
        <f t="shared" si="82"/>
        <v>0</v>
      </c>
      <c r="R667" s="35"/>
    </row>
    <row r="668" spans="1:19" hidden="1" x14ac:dyDescent="0.3">
      <c r="A668" s="37" t="s">
        <v>77</v>
      </c>
      <c r="B668" s="33" t="s">
        <v>53</v>
      </c>
      <c r="C668" s="34">
        <v>500.06</v>
      </c>
      <c r="D668" s="33">
        <v>27.09</v>
      </c>
      <c r="E668" s="33"/>
      <c r="F668" s="33">
        <v>555.35</v>
      </c>
      <c r="G668" s="34">
        <v>55.29</v>
      </c>
      <c r="H668" s="34">
        <v>0</v>
      </c>
      <c r="I668" s="34">
        <v>555.35</v>
      </c>
      <c r="J668" s="34">
        <v>94.99</v>
      </c>
      <c r="K668" s="34">
        <v>650.34</v>
      </c>
      <c r="L668" s="33" t="s">
        <v>14</v>
      </c>
      <c r="M668" s="34" t="e">
        <f t="shared" si="78"/>
        <v>#DIV/0!</v>
      </c>
      <c r="N668" s="27"/>
      <c r="O668" s="34" t="e">
        <f t="shared" ref="O668:O732" si="83">((N668-80)*M668)*0.5</f>
        <v>#DIV/0!</v>
      </c>
      <c r="P668" s="35" t="e">
        <f t="shared" si="76"/>
        <v>#VALUE!</v>
      </c>
      <c r="Q668" s="34" t="e">
        <f t="shared" ref="Q668:Q732" si="84">O668*1.5</f>
        <v>#DIV/0!</v>
      </c>
      <c r="R668" s="35"/>
    </row>
    <row r="669" spans="1:19" hidden="1" x14ac:dyDescent="0.3">
      <c r="A669" s="37" t="s">
        <v>77</v>
      </c>
      <c r="B669" s="33" t="s">
        <v>53</v>
      </c>
      <c r="C669" s="34">
        <v>700.06</v>
      </c>
      <c r="D669" s="33">
        <v>37.92</v>
      </c>
      <c r="E669" s="33"/>
      <c r="F669" s="33">
        <v>777.46</v>
      </c>
      <c r="G669" s="34">
        <v>77.400000000000006</v>
      </c>
      <c r="H669" s="34">
        <v>0</v>
      </c>
      <c r="I669" s="34">
        <v>777.46</v>
      </c>
      <c r="J669" s="34">
        <v>129.72</v>
      </c>
      <c r="K669" s="34">
        <v>907.18</v>
      </c>
      <c r="L669" s="33" t="s">
        <v>14</v>
      </c>
      <c r="M669" s="34" t="e">
        <f t="shared" si="78"/>
        <v>#DIV/0!</v>
      </c>
      <c r="N669" s="27"/>
      <c r="O669" s="34" t="e">
        <f t="shared" si="83"/>
        <v>#DIV/0!</v>
      </c>
      <c r="P669" s="35" t="e">
        <f t="shared" si="76"/>
        <v>#VALUE!</v>
      </c>
      <c r="Q669" s="34" t="e">
        <f t="shared" si="84"/>
        <v>#DIV/0!</v>
      </c>
      <c r="R669" s="35"/>
    </row>
    <row r="670" spans="1:19" x14ac:dyDescent="0.3">
      <c r="A670" s="32">
        <v>43973</v>
      </c>
      <c r="B670" s="33" t="s">
        <v>53</v>
      </c>
      <c r="C670" s="34">
        <v>738.36</v>
      </c>
      <c r="D670" s="36">
        <v>40</v>
      </c>
      <c r="E670" s="35"/>
      <c r="F670" s="35">
        <v>820</v>
      </c>
      <c r="G670" s="34">
        <v>81.64</v>
      </c>
      <c r="H670" s="34">
        <v>0</v>
      </c>
      <c r="I670" s="34">
        <v>820</v>
      </c>
      <c r="J670" s="34">
        <v>136.84</v>
      </c>
      <c r="K670" s="34">
        <v>956.84</v>
      </c>
      <c r="L670" s="33" t="s">
        <v>14</v>
      </c>
      <c r="M670" s="34">
        <f t="shared" si="78"/>
        <v>20.5</v>
      </c>
      <c r="N670" s="27">
        <v>40</v>
      </c>
      <c r="O670" s="34">
        <v>0</v>
      </c>
      <c r="P670" s="35">
        <f t="shared" si="76"/>
        <v>0</v>
      </c>
      <c r="Q670" s="40">
        <f t="shared" ref="Q670:Q685" si="85">O670*2</f>
        <v>0</v>
      </c>
      <c r="R670" s="35"/>
    </row>
    <row r="671" spans="1:19" x14ac:dyDescent="0.3">
      <c r="A671" s="32">
        <v>43987</v>
      </c>
      <c r="B671" s="33" t="s">
        <v>53</v>
      </c>
      <c r="C671" s="34">
        <v>1471.8</v>
      </c>
      <c r="D671" s="36">
        <v>72</v>
      </c>
      <c r="E671" s="35"/>
      <c r="F671" s="35">
        <v>1631.25</v>
      </c>
      <c r="G671" s="34">
        <v>159.44999999999999</v>
      </c>
      <c r="H671" s="34">
        <v>0</v>
      </c>
      <c r="I671" s="34">
        <v>1631.25</v>
      </c>
      <c r="J671" s="34">
        <v>259.31</v>
      </c>
      <c r="K671" s="34">
        <v>1890.56</v>
      </c>
      <c r="L671" s="33" t="s">
        <v>14</v>
      </c>
      <c r="M671" s="34">
        <f t="shared" si="78"/>
        <v>22.65625</v>
      </c>
      <c r="N671" s="27">
        <v>72</v>
      </c>
      <c r="O671" s="34">
        <v>0</v>
      </c>
      <c r="P671" s="35">
        <f t="shared" si="76"/>
        <v>0</v>
      </c>
      <c r="Q671" s="40">
        <f t="shared" si="85"/>
        <v>0</v>
      </c>
      <c r="R671" s="35"/>
    </row>
    <row r="672" spans="1:19" x14ac:dyDescent="0.3">
      <c r="A672" s="32">
        <v>43995</v>
      </c>
      <c r="B672" s="33" t="s">
        <v>53</v>
      </c>
      <c r="C672" s="34">
        <v>1638.71</v>
      </c>
      <c r="D672" s="31">
        <v>80</v>
      </c>
      <c r="E672" s="35"/>
      <c r="F672" s="49">
        <v>2036.25</v>
      </c>
      <c r="G672" s="34"/>
      <c r="H672" s="34"/>
      <c r="I672" s="34"/>
      <c r="J672" s="34"/>
      <c r="K672" s="34"/>
      <c r="L672" s="33"/>
      <c r="M672" s="38">
        <v>21.76</v>
      </c>
      <c r="N672" s="27">
        <v>80</v>
      </c>
      <c r="O672" s="42">
        <v>0</v>
      </c>
      <c r="P672" s="35">
        <f t="shared" si="76"/>
        <v>0</v>
      </c>
      <c r="Q672" s="40">
        <f t="shared" si="85"/>
        <v>0</v>
      </c>
      <c r="R672" s="35"/>
    </row>
    <row r="673" spans="1:18" x14ac:dyDescent="0.3">
      <c r="A673" s="32">
        <v>44009</v>
      </c>
      <c r="B673" s="33" t="s">
        <v>53</v>
      </c>
      <c r="C673" s="34">
        <v>2053.35</v>
      </c>
      <c r="D673" s="31">
        <v>94</v>
      </c>
      <c r="E673" s="35"/>
      <c r="F673" s="35">
        <v>2272.5</v>
      </c>
      <c r="G673" s="34"/>
      <c r="H673" s="34"/>
      <c r="I673" s="34"/>
      <c r="J673" s="34"/>
      <c r="K673" s="34"/>
      <c r="L673" s="33"/>
      <c r="M673" s="38">
        <v>21.76</v>
      </c>
      <c r="N673" s="27">
        <v>94</v>
      </c>
      <c r="O673" s="42">
        <v>0</v>
      </c>
      <c r="P673" s="35">
        <f t="shared" si="76"/>
        <v>0</v>
      </c>
      <c r="Q673" s="40">
        <f t="shared" si="85"/>
        <v>0</v>
      </c>
      <c r="R673" s="35"/>
    </row>
    <row r="674" spans="1:18" x14ac:dyDescent="0.3">
      <c r="A674" s="32">
        <v>44023</v>
      </c>
      <c r="B674" s="33" t="s">
        <v>53</v>
      </c>
      <c r="C674" s="34">
        <v>2236.6</v>
      </c>
      <c r="D674" s="31">
        <v>106.5</v>
      </c>
      <c r="E674" s="35"/>
      <c r="F674" s="35">
        <v>2694.38</v>
      </c>
      <c r="G674" s="34"/>
      <c r="H674" s="34"/>
      <c r="I674" s="34"/>
      <c r="J674" s="34"/>
      <c r="K674" s="34"/>
      <c r="L674" s="33"/>
      <c r="M674" s="38">
        <v>21.76</v>
      </c>
      <c r="N674" s="27">
        <v>106.5</v>
      </c>
      <c r="O674" s="42">
        <v>0</v>
      </c>
      <c r="P674" s="35">
        <f t="shared" si="76"/>
        <v>0</v>
      </c>
      <c r="Q674" s="40">
        <f t="shared" si="85"/>
        <v>0</v>
      </c>
      <c r="R674" s="35"/>
    </row>
    <row r="675" spans="1:18" x14ac:dyDescent="0.3">
      <c r="A675" s="32">
        <v>43735</v>
      </c>
      <c r="B675" s="33" t="s">
        <v>54</v>
      </c>
      <c r="C675" s="34">
        <v>1079</v>
      </c>
      <c r="D675" s="36">
        <v>55.5</v>
      </c>
      <c r="E675" s="35">
        <v>190.38</v>
      </c>
      <c r="F675" s="35">
        <v>1611</v>
      </c>
      <c r="G675" s="34">
        <v>190.38</v>
      </c>
      <c r="H675" s="34">
        <v>532</v>
      </c>
      <c r="I675" s="34">
        <v>1801.38</v>
      </c>
      <c r="J675" s="34">
        <v>338.7</v>
      </c>
      <c r="K675" s="34">
        <v>2140.08</v>
      </c>
      <c r="L675" s="33" t="s">
        <v>14</v>
      </c>
      <c r="M675" s="34">
        <f t="shared" si="78"/>
        <v>20.127150837988829</v>
      </c>
      <c r="N675" s="27">
        <v>89.5</v>
      </c>
      <c r="O675" s="38">
        <f>(M675*0.5)*15.5</f>
        <v>155.98541899441344</v>
      </c>
      <c r="P675" s="35">
        <f t="shared" si="76"/>
        <v>32.76</v>
      </c>
      <c r="Q675" s="40">
        <f t="shared" si="85"/>
        <v>311.97083798882687</v>
      </c>
      <c r="R675" s="35">
        <v>556.29999999999995</v>
      </c>
    </row>
    <row r="676" spans="1:18" x14ac:dyDescent="0.3">
      <c r="A676" s="32">
        <v>43749</v>
      </c>
      <c r="B676" s="33" t="s">
        <v>54</v>
      </c>
      <c r="C676" s="34">
        <v>1676</v>
      </c>
      <c r="D676" s="33">
        <v>80</v>
      </c>
      <c r="E676" s="35">
        <v>278.69</v>
      </c>
      <c r="F676" s="35">
        <v>2016</v>
      </c>
      <c r="G676" s="34">
        <v>278.69</v>
      </c>
      <c r="H676" s="34">
        <v>340</v>
      </c>
      <c r="I676" s="34">
        <v>2294.69</v>
      </c>
      <c r="J676" s="34">
        <v>387.48</v>
      </c>
      <c r="K676" s="34">
        <v>2682.17</v>
      </c>
      <c r="L676" s="33" t="s">
        <v>14</v>
      </c>
      <c r="M676" s="34">
        <f t="shared" si="78"/>
        <v>20.766425339366517</v>
      </c>
      <c r="N676" s="27">
        <v>110.5</v>
      </c>
      <c r="O676" s="34">
        <f t="shared" si="83"/>
        <v>316.68798642533937</v>
      </c>
      <c r="P676" s="35">
        <f t="shared" si="76"/>
        <v>63.34</v>
      </c>
      <c r="Q676" s="40">
        <f t="shared" si="85"/>
        <v>633.37597285067875</v>
      </c>
      <c r="R676" s="35"/>
    </row>
    <row r="677" spans="1:18" x14ac:dyDescent="0.3">
      <c r="A677" s="32">
        <v>43763</v>
      </c>
      <c r="B677" s="33" t="s">
        <v>54</v>
      </c>
      <c r="C677" s="34">
        <v>1328</v>
      </c>
      <c r="D677" s="33">
        <v>80</v>
      </c>
      <c r="E677" s="35">
        <v>215.89</v>
      </c>
      <c r="F677" s="35">
        <v>1728</v>
      </c>
      <c r="G677" s="34">
        <v>215.89</v>
      </c>
      <c r="H677" s="34">
        <v>400</v>
      </c>
      <c r="I677" s="34">
        <v>1943.89</v>
      </c>
      <c r="J677" s="34">
        <v>352.79</v>
      </c>
      <c r="K677" s="34">
        <v>2296.6799999999998</v>
      </c>
      <c r="L677" s="33" t="s">
        <v>14</v>
      </c>
      <c r="M677" s="34">
        <f t="shared" si="78"/>
        <v>20.248854166666664</v>
      </c>
      <c r="N677" s="27">
        <v>96</v>
      </c>
      <c r="O677" s="34">
        <f t="shared" si="83"/>
        <v>161.99083333333331</v>
      </c>
      <c r="P677" s="35">
        <f t="shared" si="76"/>
        <v>32.4</v>
      </c>
      <c r="Q677" s="40">
        <f t="shared" si="85"/>
        <v>323.98166666666663</v>
      </c>
      <c r="R677" s="35"/>
    </row>
    <row r="678" spans="1:18" x14ac:dyDescent="0.3">
      <c r="A678" s="32">
        <v>43777</v>
      </c>
      <c r="B678" s="33" t="s">
        <v>54</v>
      </c>
      <c r="C678" s="34">
        <v>2191</v>
      </c>
      <c r="D678" s="33">
        <v>80</v>
      </c>
      <c r="E678" s="35">
        <v>309.66000000000003</v>
      </c>
      <c r="F678" s="35">
        <v>2261</v>
      </c>
      <c r="G678" s="34">
        <v>329.66</v>
      </c>
      <c r="H678" s="34">
        <v>50</v>
      </c>
      <c r="I678" s="34">
        <v>2570.66</v>
      </c>
      <c r="J678" s="34">
        <v>405.11</v>
      </c>
      <c r="K678" s="34">
        <v>2975.77</v>
      </c>
      <c r="L678" s="33" t="s">
        <v>14</v>
      </c>
      <c r="M678" s="34">
        <f t="shared" si="78"/>
        <v>20.647871485943774</v>
      </c>
      <c r="N678" s="27">
        <v>124.5</v>
      </c>
      <c r="O678" s="34">
        <f t="shared" si="83"/>
        <v>459.41514056224901</v>
      </c>
      <c r="P678" s="35">
        <f t="shared" si="76"/>
        <v>91.88</v>
      </c>
      <c r="Q678" s="40">
        <f t="shared" si="85"/>
        <v>918.83028112449801</v>
      </c>
      <c r="R678" s="35"/>
    </row>
    <row r="679" spans="1:18" x14ac:dyDescent="0.3">
      <c r="A679" s="32">
        <v>43791</v>
      </c>
      <c r="B679" s="33" t="s">
        <v>54</v>
      </c>
      <c r="C679" s="34">
        <v>1600</v>
      </c>
      <c r="D679" s="33">
        <v>80</v>
      </c>
      <c r="E679" s="35">
        <v>275.20999999999998</v>
      </c>
      <c r="F679" s="35">
        <v>2000</v>
      </c>
      <c r="G679" s="34">
        <v>275.20999999999998</v>
      </c>
      <c r="H679" s="34">
        <v>400</v>
      </c>
      <c r="I679" s="34">
        <v>2275.21</v>
      </c>
      <c r="J679" s="34">
        <v>371.91</v>
      </c>
      <c r="K679" s="34">
        <v>2647.12</v>
      </c>
      <c r="L679" s="33" t="s">
        <v>14</v>
      </c>
      <c r="M679" s="34">
        <f t="shared" si="78"/>
        <v>22.752099999999999</v>
      </c>
      <c r="N679" s="27">
        <v>100</v>
      </c>
      <c r="O679" s="34">
        <f t="shared" si="83"/>
        <v>227.52099999999999</v>
      </c>
      <c r="P679" s="35">
        <f t="shared" ref="P679:P741" si="86">ROUND(((ROUNDDOWN(($W$1-A679)/30,0))/100)*O679,2)</f>
        <v>43.23</v>
      </c>
      <c r="Q679" s="40">
        <f t="shared" si="85"/>
        <v>455.04199999999997</v>
      </c>
      <c r="R679" s="35"/>
    </row>
    <row r="680" spans="1:18" x14ac:dyDescent="0.3">
      <c r="A680" s="32">
        <v>43805</v>
      </c>
      <c r="B680" s="33" t="s">
        <v>54</v>
      </c>
      <c r="C680" s="34">
        <v>1490</v>
      </c>
      <c r="D680" s="36">
        <v>49.5</v>
      </c>
      <c r="E680" s="35">
        <v>176.57</v>
      </c>
      <c r="F680" s="35">
        <v>1520</v>
      </c>
      <c r="G680" s="34">
        <v>176.57</v>
      </c>
      <c r="H680" s="34">
        <v>30</v>
      </c>
      <c r="I680" s="34">
        <v>1696.57</v>
      </c>
      <c r="J680" s="34">
        <v>318.14999999999998</v>
      </c>
      <c r="K680" s="34">
        <v>2014.72</v>
      </c>
      <c r="L680" s="33" t="s">
        <v>14</v>
      </c>
      <c r="M680" s="34">
        <f t="shared" si="78"/>
        <v>22.323289473684209</v>
      </c>
      <c r="N680" s="27">
        <v>76</v>
      </c>
      <c r="O680" s="38">
        <f>(M680*0.5)*9.5</f>
        <v>106.035625</v>
      </c>
      <c r="P680" s="35">
        <f t="shared" si="86"/>
        <v>20.149999999999999</v>
      </c>
      <c r="Q680" s="40">
        <f t="shared" si="85"/>
        <v>212.07124999999999</v>
      </c>
      <c r="R680" s="35"/>
    </row>
    <row r="681" spans="1:18" x14ac:dyDescent="0.3">
      <c r="A681" s="32">
        <v>43819</v>
      </c>
      <c r="B681" s="33" t="s">
        <v>54</v>
      </c>
      <c r="C681" s="34">
        <v>1940</v>
      </c>
      <c r="D681" s="33">
        <v>80</v>
      </c>
      <c r="E681" s="35">
        <v>273.04000000000002</v>
      </c>
      <c r="F681" s="35">
        <v>1990</v>
      </c>
      <c r="G681" s="34">
        <v>273.04000000000002</v>
      </c>
      <c r="H681" s="34">
        <v>50</v>
      </c>
      <c r="I681" s="34">
        <v>2263.04</v>
      </c>
      <c r="J681" s="34">
        <v>370.78</v>
      </c>
      <c r="K681" s="34">
        <v>2633.82</v>
      </c>
      <c r="L681" s="33" t="s">
        <v>14</v>
      </c>
      <c r="M681" s="34">
        <f t="shared" si="78"/>
        <v>22.744120603015077</v>
      </c>
      <c r="N681" s="27">
        <v>99.5</v>
      </c>
      <c r="O681" s="34">
        <f t="shared" si="83"/>
        <v>221.755175879397</v>
      </c>
      <c r="P681" s="35">
        <f t="shared" si="86"/>
        <v>39.92</v>
      </c>
      <c r="Q681" s="40">
        <f t="shared" si="85"/>
        <v>443.510351758794</v>
      </c>
      <c r="R681" s="35"/>
    </row>
    <row r="682" spans="1:18" x14ac:dyDescent="0.3">
      <c r="A682" s="32">
        <v>43833</v>
      </c>
      <c r="B682" s="33" t="s">
        <v>54</v>
      </c>
      <c r="C682" s="34">
        <v>2470</v>
      </c>
      <c r="D682" s="36">
        <v>50</v>
      </c>
      <c r="E682" s="35">
        <v>381.04</v>
      </c>
      <c r="F682" s="35">
        <v>2470</v>
      </c>
      <c r="G682" s="34">
        <v>381.04</v>
      </c>
      <c r="H682" s="34">
        <v>0</v>
      </c>
      <c r="I682" s="34">
        <v>2851.04</v>
      </c>
      <c r="J682" s="34">
        <v>442.51</v>
      </c>
      <c r="K682" s="34">
        <v>3293.55</v>
      </c>
      <c r="L682" s="33" t="s">
        <v>14</v>
      </c>
      <c r="M682" s="34">
        <f t="shared" si="78"/>
        <v>32.215141242937854</v>
      </c>
      <c r="N682" s="27">
        <v>88.5</v>
      </c>
      <c r="O682" s="38">
        <f>(M682*0.5)*10</f>
        <v>161.07570621468926</v>
      </c>
      <c r="P682" s="35">
        <f t="shared" si="86"/>
        <v>28.99</v>
      </c>
      <c r="Q682" s="40">
        <f t="shared" si="85"/>
        <v>322.15141242937852</v>
      </c>
      <c r="R682" s="35"/>
    </row>
    <row r="683" spans="1:18" x14ac:dyDescent="0.3">
      <c r="A683" s="32">
        <v>43847</v>
      </c>
      <c r="B683" s="33" t="s">
        <v>54</v>
      </c>
      <c r="C683" s="34">
        <v>1850</v>
      </c>
      <c r="D683" s="36">
        <v>52</v>
      </c>
      <c r="E683" s="35"/>
      <c r="F683" s="35">
        <v>1950</v>
      </c>
      <c r="G683" s="34">
        <v>213.52</v>
      </c>
      <c r="H683" s="34">
        <v>100</v>
      </c>
      <c r="I683" s="34">
        <v>2163.52</v>
      </c>
      <c r="J683" s="34">
        <v>353.4</v>
      </c>
      <c r="K683" s="34">
        <v>2516.92</v>
      </c>
      <c r="L683" s="33" t="s">
        <v>14</v>
      </c>
      <c r="M683" s="34">
        <f t="shared" si="78"/>
        <v>21.787709497206706</v>
      </c>
      <c r="N683" s="27">
        <v>89.5</v>
      </c>
      <c r="O683" s="38">
        <f>(M683*0.5)*12</f>
        <v>130.72625698324023</v>
      </c>
      <c r="P683" s="35">
        <f t="shared" si="86"/>
        <v>22.22</v>
      </c>
      <c r="Q683" s="40">
        <f t="shared" si="85"/>
        <v>261.45251396648047</v>
      </c>
      <c r="R683" s="35"/>
    </row>
    <row r="684" spans="1:18" x14ac:dyDescent="0.3">
      <c r="A684" s="32">
        <v>43861</v>
      </c>
      <c r="B684" s="33" t="s">
        <v>54</v>
      </c>
      <c r="C684" s="34">
        <v>1990</v>
      </c>
      <c r="D684" s="33">
        <v>80</v>
      </c>
      <c r="E684" s="35"/>
      <c r="F684" s="35">
        <v>2040</v>
      </c>
      <c r="G684" s="34">
        <v>229.63</v>
      </c>
      <c r="H684" s="34">
        <v>50</v>
      </c>
      <c r="I684" s="34">
        <v>2269.63</v>
      </c>
      <c r="J684" s="34">
        <v>362.29</v>
      </c>
      <c r="K684" s="34">
        <v>2631.92</v>
      </c>
      <c r="L684" s="33" t="s">
        <v>14</v>
      </c>
      <c r="M684" s="34">
        <f t="shared" si="78"/>
        <v>20</v>
      </c>
      <c r="N684" s="27">
        <v>102</v>
      </c>
      <c r="O684" s="34">
        <f t="shared" si="83"/>
        <v>220</v>
      </c>
      <c r="P684" s="35">
        <f t="shared" si="86"/>
        <v>37.4</v>
      </c>
      <c r="Q684" s="40">
        <f t="shared" si="85"/>
        <v>440</v>
      </c>
      <c r="R684" s="35"/>
    </row>
    <row r="685" spans="1:18" x14ac:dyDescent="0.3">
      <c r="A685" s="32">
        <v>43875</v>
      </c>
      <c r="B685" s="33" t="s">
        <v>54</v>
      </c>
      <c r="C685" s="34">
        <v>2106</v>
      </c>
      <c r="D685" s="36">
        <v>43.5</v>
      </c>
      <c r="E685" s="35"/>
      <c r="F685" s="35">
        <v>2156</v>
      </c>
      <c r="G685" s="34">
        <v>241.58</v>
      </c>
      <c r="H685" s="34">
        <v>50</v>
      </c>
      <c r="I685" s="34">
        <v>2397.58</v>
      </c>
      <c r="J685" s="34">
        <v>313.67</v>
      </c>
      <c r="K685" s="34">
        <v>2711.25</v>
      </c>
      <c r="L685" s="33" t="s">
        <v>14</v>
      </c>
      <c r="M685" s="34">
        <f t="shared" si="78"/>
        <v>29.944444444444443</v>
      </c>
      <c r="N685" s="27">
        <v>72</v>
      </c>
      <c r="O685" s="38">
        <f>(M685*0.5)*3.5</f>
        <v>52.402777777777771</v>
      </c>
      <c r="P685" s="35">
        <f t="shared" si="86"/>
        <v>8.3800000000000008</v>
      </c>
      <c r="Q685" s="40">
        <f t="shared" si="85"/>
        <v>104.80555555555554</v>
      </c>
      <c r="R685" s="35"/>
    </row>
    <row r="686" spans="1:18" hidden="1" x14ac:dyDescent="0.3">
      <c r="A686" s="37" t="s">
        <v>77</v>
      </c>
      <c r="B686" s="33" t="s">
        <v>54</v>
      </c>
      <c r="C686" s="34">
        <v>2847</v>
      </c>
      <c r="D686" s="33">
        <v>80</v>
      </c>
      <c r="E686" s="33"/>
      <c r="F686" s="36">
        <v>2697</v>
      </c>
      <c r="G686" s="34">
        <v>341.56</v>
      </c>
      <c r="H686" s="34">
        <v>0</v>
      </c>
      <c r="I686" s="34">
        <v>3188.56</v>
      </c>
      <c r="J686" s="34">
        <v>362.96</v>
      </c>
      <c r="K686" s="34">
        <v>3551.52</v>
      </c>
      <c r="L686" s="33" t="s">
        <v>14</v>
      </c>
      <c r="M686" s="34" t="e">
        <f t="shared" si="78"/>
        <v>#DIV/0!</v>
      </c>
      <c r="N686" s="27"/>
      <c r="O686" s="34" t="e">
        <f t="shared" si="83"/>
        <v>#DIV/0!</v>
      </c>
      <c r="P686" s="35" t="e">
        <f t="shared" si="86"/>
        <v>#VALUE!</v>
      </c>
      <c r="Q686" s="34" t="e">
        <f t="shared" si="84"/>
        <v>#DIV/0!</v>
      </c>
      <c r="R686" s="35"/>
    </row>
    <row r="687" spans="1:18" hidden="1" x14ac:dyDescent="0.3">
      <c r="A687" s="37" t="s">
        <v>77</v>
      </c>
      <c r="B687" s="33" t="s">
        <v>54</v>
      </c>
      <c r="C687" s="34">
        <v>2636</v>
      </c>
      <c r="D687" s="33">
        <v>80</v>
      </c>
      <c r="E687" s="33"/>
      <c r="F687" s="36">
        <v>2486</v>
      </c>
      <c r="G687" s="34">
        <v>300.66000000000003</v>
      </c>
      <c r="H687" s="34">
        <v>0</v>
      </c>
      <c r="I687" s="34">
        <v>2936.66</v>
      </c>
      <c r="J687" s="34">
        <v>343.38</v>
      </c>
      <c r="K687" s="34">
        <v>3280.04</v>
      </c>
      <c r="L687" s="33" t="s">
        <v>14</v>
      </c>
      <c r="M687" s="34" t="e">
        <f t="shared" si="78"/>
        <v>#DIV/0!</v>
      </c>
      <c r="N687" s="27"/>
      <c r="O687" s="34" t="e">
        <f t="shared" si="83"/>
        <v>#DIV/0!</v>
      </c>
      <c r="P687" s="35" t="e">
        <f t="shared" si="86"/>
        <v>#VALUE!</v>
      </c>
      <c r="Q687" s="34" t="e">
        <f t="shared" si="84"/>
        <v>#DIV/0!</v>
      </c>
      <c r="R687" s="35"/>
    </row>
    <row r="688" spans="1:18" hidden="1" x14ac:dyDescent="0.3">
      <c r="A688" s="37" t="s">
        <v>77</v>
      </c>
      <c r="B688" s="33" t="s">
        <v>54</v>
      </c>
      <c r="C688" s="34">
        <v>2648</v>
      </c>
      <c r="D688" s="33">
        <v>80</v>
      </c>
      <c r="E688" s="33"/>
      <c r="F688" s="36">
        <v>2875</v>
      </c>
      <c r="G688" s="34">
        <v>377</v>
      </c>
      <c r="H688" s="34">
        <v>0</v>
      </c>
      <c r="I688" s="34">
        <v>3025</v>
      </c>
      <c r="J688" s="34">
        <v>379.5</v>
      </c>
      <c r="K688" s="34">
        <v>3404.5</v>
      </c>
      <c r="L688" s="33" t="s">
        <v>14</v>
      </c>
      <c r="M688" s="34" t="e">
        <f t="shared" si="78"/>
        <v>#DIV/0!</v>
      </c>
      <c r="N688" s="27"/>
      <c r="O688" s="34" t="e">
        <f t="shared" si="83"/>
        <v>#DIV/0!</v>
      </c>
      <c r="P688" s="35" t="e">
        <f t="shared" si="86"/>
        <v>#VALUE!</v>
      </c>
      <c r="Q688" s="34" t="e">
        <f t="shared" si="84"/>
        <v>#DIV/0!</v>
      </c>
      <c r="R688" s="35"/>
    </row>
    <row r="689" spans="1:18" hidden="1" x14ac:dyDescent="0.3">
      <c r="A689" s="37" t="s">
        <v>77</v>
      </c>
      <c r="B689" s="33" t="s">
        <v>54</v>
      </c>
      <c r="C689" s="34">
        <v>904.13</v>
      </c>
      <c r="D689" s="33">
        <v>40</v>
      </c>
      <c r="E689" s="33"/>
      <c r="F689" s="33">
        <v>1000</v>
      </c>
      <c r="G689" s="34">
        <v>95.87</v>
      </c>
      <c r="H689" s="34">
        <v>0</v>
      </c>
      <c r="I689" s="34">
        <v>1000</v>
      </c>
      <c r="J689" s="34">
        <v>149.11000000000001</v>
      </c>
      <c r="K689" s="34">
        <v>1149.1099999999999</v>
      </c>
      <c r="L689" s="33" t="s">
        <v>14</v>
      </c>
      <c r="M689" s="34" t="e">
        <f t="shared" si="78"/>
        <v>#DIV/0!</v>
      </c>
      <c r="N689" s="27"/>
      <c r="O689" s="34" t="e">
        <f t="shared" si="83"/>
        <v>#DIV/0!</v>
      </c>
      <c r="P689" s="35" t="e">
        <f t="shared" si="86"/>
        <v>#VALUE!</v>
      </c>
      <c r="Q689" s="34" t="e">
        <f t="shared" si="84"/>
        <v>#DIV/0!</v>
      </c>
      <c r="R689" s="35"/>
    </row>
    <row r="690" spans="1:18" hidden="1" x14ac:dyDescent="0.3">
      <c r="A690" s="37" t="s">
        <v>77</v>
      </c>
      <c r="B690" s="33" t="s">
        <v>54</v>
      </c>
      <c r="C690" s="34">
        <v>500.22</v>
      </c>
      <c r="D690" s="33">
        <v>22.13</v>
      </c>
      <c r="E690" s="33"/>
      <c r="F690" s="33">
        <v>553.25</v>
      </c>
      <c r="G690" s="34">
        <v>53.03</v>
      </c>
      <c r="H690" s="34">
        <v>0</v>
      </c>
      <c r="I690" s="34">
        <v>553.25</v>
      </c>
      <c r="J690" s="34">
        <v>83.45</v>
      </c>
      <c r="K690" s="34">
        <v>636.70000000000005</v>
      </c>
      <c r="L690" s="33" t="s">
        <v>14</v>
      </c>
      <c r="M690" s="34" t="e">
        <f t="shared" si="78"/>
        <v>#DIV/0!</v>
      </c>
      <c r="N690" s="27"/>
      <c r="O690" s="34" t="e">
        <f t="shared" si="83"/>
        <v>#DIV/0!</v>
      </c>
      <c r="P690" s="35" t="e">
        <f t="shared" si="86"/>
        <v>#VALUE!</v>
      </c>
      <c r="Q690" s="34" t="e">
        <f t="shared" si="84"/>
        <v>#DIV/0!</v>
      </c>
      <c r="R690" s="35"/>
    </row>
    <row r="691" spans="1:18" hidden="1" x14ac:dyDescent="0.3">
      <c r="A691" s="37" t="s">
        <v>77</v>
      </c>
      <c r="B691" s="33" t="s">
        <v>54</v>
      </c>
      <c r="C691" s="34">
        <v>2954.7</v>
      </c>
      <c r="D691" s="33">
        <v>80</v>
      </c>
      <c r="E691" s="33">
        <v>387.5</v>
      </c>
      <c r="F691" s="36">
        <v>2875</v>
      </c>
      <c r="G691" s="34">
        <v>487.8</v>
      </c>
      <c r="H691" s="34">
        <v>0</v>
      </c>
      <c r="I691" s="34">
        <v>3442.5</v>
      </c>
      <c r="J691" s="34">
        <v>546.02</v>
      </c>
      <c r="K691" s="34">
        <v>3988.52</v>
      </c>
      <c r="L691" s="33" t="s">
        <v>14</v>
      </c>
      <c r="M691" s="34" t="e">
        <f t="shared" si="78"/>
        <v>#DIV/0!</v>
      </c>
      <c r="N691" s="27"/>
      <c r="O691" s="34" t="e">
        <f t="shared" si="83"/>
        <v>#DIV/0!</v>
      </c>
      <c r="P691" s="35" t="e">
        <f t="shared" si="86"/>
        <v>#VALUE!</v>
      </c>
      <c r="Q691" s="34" t="e">
        <f t="shared" si="84"/>
        <v>#DIV/0!</v>
      </c>
      <c r="R691" s="35"/>
    </row>
    <row r="692" spans="1:18" hidden="1" x14ac:dyDescent="0.3">
      <c r="A692" s="37" t="s">
        <v>77</v>
      </c>
      <c r="B692" s="33" t="s">
        <v>54</v>
      </c>
      <c r="C692" s="34">
        <v>3330.78</v>
      </c>
      <c r="D692" s="33">
        <v>112.5</v>
      </c>
      <c r="E692" s="33"/>
      <c r="F692" s="36">
        <v>3347.5</v>
      </c>
      <c r="G692" s="34">
        <v>484.72</v>
      </c>
      <c r="H692" s="34">
        <v>0</v>
      </c>
      <c r="I692" s="34">
        <v>3815.5</v>
      </c>
      <c r="J692" s="34">
        <v>465.86</v>
      </c>
      <c r="K692" s="34">
        <v>4281.3599999999997</v>
      </c>
      <c r="L692" s="33" t="s">
        <v>14</v>
      </c>
      <c r="M692" s="34" t="e">
        <f t="shared" si="78"/>
        <v>#DIV/0!</v>
      </c>
      <c r="N692" s="27"/>
      <c r="O692" s="34" t="e">
        <f t="shared" si="83"/>
        <v>#DIV/0!</v>
      </c>
      <c r="P692" s="35" t="e">
        <f t="shared" si="86"/>
        <v>#VALUE!</v>
      </c>
      <c r="Q692" s="34" t="e">
        <f t="shared" si="84"/>
        <v>#DIV/0!</v>
      </c>
      <c r="R692" s="35"/>
    </row>
    <row r="693" spans="1:18" x14ac:dyDescent="0.3">
      <c r="A693" s="32">
        <v>43441</v>
      </c>
      <c r="B693" s="33" t="s">
        <v>55</v>
      </c>
      <c r="C693" s="34">
        <v>1000</v>
      </c>
      <c r="D693" s="30">
        <v>40</v>
      </c>
      <c r="E693" s="35">
        <v>128.05000000000001</v>
      </c>
      <c r="F693" s="35">
        <v>1000</v>
      </c>
      <c r="G693" s="34">
        <v>128.05000000000001</v>
      </c>
      <c r="H693" s="34">
        <v>0</v>
      </c>
      <c r="I693" s="34">
        <v>1128.05</v>
      </c>
      <c r="J693" s="34">
        <v>193.76</v>
      </c>
      <c r="K693" s="34">
        <v>1321.81</v>
      </c>
      <c r="L693" s="33">
        <v>100107</v>
      </c>
      <c r="M693" s="34">
        <f t="shared" si="78"/>
        <v>28.201249999999998</v>
      </c>
      <c r="N693" s="27">
        <v>40</v>
      </c>
      <c r="O693" s="34">
        <v>0</v>
      </c>
      <c r="P693" s="35">
        <f t="shared" si="86"/>
        <v>0</v>
      </c>
      <c r="Q693" s="40">
        <f t="shared" ref="Q693:Q695" si="87">O693*2</f>
        <v>0</v>
      </c>
      <c r="R693" s="35">
        <v>556.29999999999995</v>
      </c>
    </row>
    <row r="694" spans="1:18" x14ac:dyDescent="0.3">
      <c r="A694" s="32">
        <v>43455</v>
      </c>
      <c r="B694" s="33" t="s">
        <v>55</v>
      </c>
      <c r="C694" s="34">
        <v>846</v>
      </c>
      <c r="D694" s="33">
        <v>80</v>
      </c>
      <c r="E694" s="35">
        <v>452.6</v>
      </c>
      <c r="F694" s="35">
        <v>2400</v>
      </c>
      <c r="G694" s="34">
        <v>477.6</v>
      </c>
      <c r="H694" s="34">
        <v>1529</v>
      </c>
      <c r="I694" s="34">
        <v>2852.6</v>
      </c>
      <c r="J694" s="34">
        <v>447.5</v>
      </c>
      <c r="K694" s="34">
        <v>3300.1</v>
      </c>
      <c r="L694" s="33">
        <v>100115</v>
      </c>
      <c r="M694" s="34">
        <f t="shared" si="78"/>
        <v>30.027368421052632</v>
      </c>
      <c r="N694" s="27">
        <v>95</v>
      </c>
      <c r="O694" s="34">
        <f t="shared" si="83"/>
        <v>225.20526315789473</v>
      </c>
      <c r="P694" s="35">
        <f t="shared" si="86"/>
        <v>67.56</v>
      </c>
      <c r="Q694" s="40">
        <f t="shared" si="87"/>
        <v>450.41052631578947</v>
      </c>
      <c r="R694" s="35"/>
    </row>
    <row r="695" spans="1:18" x14ac:dyDescent="0.3">
      <c r="A695" s="32">
        <v>43469</v>
      </c>
      <c r="B695" s="33" t="s">
        <v>55</v>
      </c>
      <c r="C695" s="34">
        <v>861</v>
      </c>
      <c r="D695" s="36">
        <v>51</v>
      </c>
      <c r="E695" s="35">
        <v>484.42</v>
      </c>
      <c r="F695" s="35">
        <v>2000</v>
      </c>
      <c r="G695" s="34">
        <v>409.42</v>
      </c>
      <c r="H695" s="34">
        <v>1214</v>
      </c>
      <c r="I695" s="34">
        <v>2484.42</v>
      </c>
      <c r="J695" s="34">
        <v>410.47</v>
      </c>
      <c r="K695" s="34">
        <v>2894.89</v>
      </c>
      <c r="L695" s="33">
        <v>100121</v>
      </c>
      <c r="M695" s="34">
        <f t="shared" si="78"/>
        <v>29.93277108433735</v>
      </c>
      <c r="N695" s="27">
        <v>83</v>
      </c>
      <c r="O695" s="38">
        <f>(M695*0.5)*11</f>
        <v>164.63024096385541</v>
      </c>
      <c r="P695" s="35">
        <f t="shared" si="86"/>
        <v>49.39</v>
      </c>
      <c r="Q695" s="40">
        <f t="shared" si="87"/>
        <v>329.26048192771083</v>
      </c>
      <c r="R695" s="35"/>
    </row>
    <row r="696" spans="1:18" hidden="1" x14ac:dyDescent="0.3">
      <c r="A696" s="37" t="s">
        <v>77</v>
      </c>
      <c r="B696" s="33" t="s">
        <v>55</v>
      </c>
      <c r="C696" s="34">
        <v>1685</v>
      </c>
      <c r="D696" s="33">
        <v>80</v>
      </c>
      <c r="E696" s="33">
        <v>407.8</v>
      </c>
      <c r="F696" s="33">
        <v>2000</v>
      </c>
      <c r="G696" s="34">
        <v>232.8</v>
      </c>
      <c r="H696" s="34">
        <v>490</v>
      </c>
      <c r="I696" s="34">
        <v>2407.8000000000002</v>
      </c>
      <c r="J696" s="34">
        <v>402.77</v>
      </c>
      <c r="K696" s="34">
        <v>2810.57</v>
      </c>
      <c r="L696" s="33">
        <v>100130</v>
      </c>
      <c r="M696" s="34" t="e">
        <f t="shared" si="78"/>
        <v>#DIV/0!</v>
      </c>
      <c r="N696" s="27">
        <v>0</v>
      </c>
      <c r="O696" s="34" t="e">
        <f t="shared" si="83"/>
        <v>#DIV/0!</v>
      </c>
      <c r="P696" s="35" t="e">
        <f t="shared" si="86"/>
        <v>#VALUE!</v>
      </c>
      <c r="Q696" s="34" t="e">
        <f t="shared" si="84"/>
        <v>#DIV/0!</v>
      </c>
      <c r="R696" s="35"/>
    </row>
    <row r="697" spans="1:18" x14ac:dyDescent="0.3">
      <c r="A697" s="32">
        <v>43497</v>
      </c>
      <c r="B697" s="33" t="s">
        <v>55</v>
      </c>
      <c r="C697" s="34">
        <v>2662</v>
      </c>
      <c r="D697" s="33">
        <v>80</v>
      </c>
      <c r="E697" s="35">
        <v>1217.3</v>
      </c>
      <c r="F697" s="35">
        <v>2000</v>
      </c>
      <c r="G697" s="34">
        <v>555.29999999999995</v>
      </c>
      <c r="H697" s="34">
        <v>0</v>
      </c>
      <c r="I697" s="34">
        <v>3217.3</v>
      </c>
      <c r="J697" s="34">
        <v>477.54</v>
      </c>
      <c r="K697" s="34">
        <v>3694.84</v>
      </c>
      <c r="L697" s="33">
        <v>100139</v>
      </c>
      <c r="M697" s="34">
        <f t="shared" si="78"/>
        <v>30.209389671361503</v>
      </c>
      <c r="N697" s="27">
        <v>106.5</v>
      </c>
      <c r="O697" s="34">
        <f t="shared" si="83"/>
        <v>400.27441314553994</v>
      </c>
      <c r="P697" s="35">
        <f t="shared" si="86"/>
        <v>116.08</v>
      </c>
      <c r="Q697" s="40">
        <f>O697*2</f>
        <v>800.54882629107988</v>
      </c>
      <c r="R697" s="35"/>
    </row>
    <row r="698" spans="1:18" hidden="1" x14ac:dyDescent="0.3">
      <c r="A698" s="37" t="s">
        <v>77</v>
      </c>
      <c r="B698" s="33" t="s">
        <v>55</v>
      </c>
      <c r="C698" s="34">
        <v>2275</v>
      </c>
      <c r="D698" s="33">
        <v>80</v>
      </c>
      <c r="E698" s="33">
        <v>241.37</v>
      </c>
      <c r="F698" s="33">
        <v>2275</v>
      </c>
      <c r="G698" s="34">
        <v>241.37</v>
      </c>
      <c r="H698" s="34">
        <v>0</v>
      </c>
      <c r="I698" s="34">
        <v>2516.37</v>
      </c>
      <c r="J698" s="34">
        <v>398.59</v>
      </c>
      <c r="K698" s="34">
        <v>2914.96</v>
      </c>
      <c r="L698" s="33" t="s">
        <v>14</v>
      </c>
      <c r="M698" s="34" t="e">
        <f t="shared" si="78"/>
        <v>#DIV/0!</v>
      </c>
      <c r="N698" s="27"/>
      <c r="O698" s="34" t="e">
        <f t="shared" si="83"/>
        <v>#DIV/0!</v>
      </c>
      <c r="P698" s="35" t="e">
        <f t="shared" si="86"/>
        <v>#VALUE!</v>
      </c>
      <c r="Q698" s="34" t="e">
        <f t="shared" si="84"/>
        <v>#DIV/0!</v>
      </c>
      <c r="R698" s="35"/>
    </row>
    <row r="699" spans="1:18" hidden="1" x14ac:dyDescent="0.3">
      <c r="A699" s="37" t="s">
        <v>77</v>
      </c>
      <c r="B699" s="33" t="s">
        <v>55</v>
      </c>
      <c r="C699" s="34">
        <v>2475</v>
      </c>
      <c r="D699" s="33">
        <v>0</v>
      </c>
      <c r="E699" s="33">
        <v>2475</v>
      </c>
      <c r="F699" s="33"/>
      <c r="G699" s="34">
        <v>455.76</v>
      </c>
      <c r="H699" s="34">
        <v>0</v>
      </c>
      <c r="I699" s="34">
        <v>2930.76</v>
      </c>
      <c r="J699" s="34">
        <v>277.24</v>
      </c>
      <c r="K699" s="34">
        <v>3208</v>
      </c>
      <c r="L699" s="33" t="s">
        <v>14</v>
      </c>
      <c r="M699" s="34" t="e">
        <f t="shared" si="78"/>
        <v>#DIV/0!</v>
      </c>
      <c r="N699" s="27"/>
      <c r="O699" s="34" t="e">
        <f t="shared" si="83"/>
        <v>#DIV/0!</v>
      </c>
      <c r="P699" s="35" t="e">
        <f t="shared" si="86"/>
        <v>#VALUE!</v>
      </c>
      <c r="Q699" s="34" t="e">
        <f t="shared" si="84"/>
        <v>#DIV/0!</v>
      </c>
      <c r="R699" s="35"/>
    </row>
    <row r="700" spans="1:18" hidden="1" x14ac:dyDescent="0.3">
      <c r="A700" s="37" t="s">
        <v>77</v>
      </c>
      <c r="B700" s="33" t="s">
        <v>55</v>
      </c>
      <c r="C700" s="34">
        <v>2512</v>
      </c>
      <c r="D700" s="33">
        <v>80</v>
      </c>
      <c r="E700" s="33">
        <v>1030.03</v>
      </c>
      <c r="F700" s="33">
        <v>2000</v>
      </c>
      <c r="G700" s="34">
        <v>518.03</v>
      </c>
      <c r="H700" s="34">
        <v>0</v>
      </c>
      <c r="I700" s="34">
        <v>3030.03</v>
      </c>
      <c r="J700" s="34">
        <v>447.19</v>
      </c>
      <c r="K700" s="34">
        <v>3477.22</v>
      </c>
      <c r="L700" s="33" t="s">
        <v>14</v>
      </c>
      <c r="M700" s="34" t="e">
        <f t="shared" ref="M700:M790" si="88">(E700+F700)/N700</f>
        <v>#DIV/0!</v>
      </c>
      <c r="N700" s="27"/>
      <c r="O700" s="34" t="e">
        <f t="shared" si="83"/>
        <v>#DIV/0!</v>
      </c>
      <c r="P700" s="35" t="e">
        <f t="shared" si="86"/>
        <v>#VALUE!</v>
      </c>
      <c r="Q700" s="34" t="e">
        <f t="shared" si="84"/>
        <v>#DIV/0!</v>
      </c>
      <c r="R700" s="35"/>
    </row>
    <row r="701" spans="1:18" x14ac:dyDescent="0.3">
      <c r="A701" s="32">
        <v>43553</v>
      </c>
      <c r="B701" s="33" t="s">
        <v>55</v>
      </c>
      <c r="C701" s="34">
        <v>2000</v>
      </c>
      <c r="D701" s="30">
        <v>36</v>
      </c>
      <c r="E701" s="35">
        <v>390.79</v>
      </c>
      <c r="F701" s="35">
        <v>2000</v>
      </c>
      <c r="G701" s="34">
        <v>390.79</v>
      </c>
      <c r="H701" s="34">
        <v>0</v>
      </c>
      <c r="I701" s="34">
        <v>2390.79</v>
      </c>
      <c r="J701" s="34">
        <v>386.71</v>
      </c>
      <c r="K701" s="34">
        <v>2777.5</v>
      </c>
      <c r="L701" s="33" t="s">
        <v>14</v>
      </c>
      <c r="M701" s="34">
        <f t="shared" si="88"/>
        <v>66.410833333333329</v>
      </c>
      <c r="N701" s="27">
        <v>36</v>
      </c>
      <c r="O701" s="34">
        <v>0</v>
      </c>
      <c r="P701" s="35">
        <f t="shared" si="86"/>
        <v>0</v>
      </c>
      <c r="Q701" s="40">
        <f t="shared" ref="Q701:Q704" si="89">O701*2</f>
        <v>0</v>
      </c>
      <c r="R701" s="35"/>
    </row>
    <row r="702" spans="1:18" x14ac:dyDescent="0.3">
      <c r="A702" s="32">
        <v>43567</v>
      </c>
      <c r="B702" s="33" t="s">
        <v>55</v>
      </c>
      <c r="C702" s="34">
        <v>2160</v>
      </c>
      <c r="D702" s="33">
        <v>80</v>
      </c>
      <c r="E702" s="35">
        <v>640.5</v>
      </c>
      <c r="F702" s="35">
        <v>2000</v>
      </c>
      <c r="G702" s="34">
        <v>440.5</v>
      </c>
      <c r="H702" s="34">
        <v>40</v>
      </c>
      <c r="I702" s="34">
        <v>2640.5</v>
      </c>
      <c r="J702" s="34">
        <v>410.33</v>
      </c>
      <c r="K702" s="34">
        <v>3050.83</v>
      </c>
      <c r="L702" s="33" t="s">
        <v>14</v>
      </c>
      <c r="M702" s="34">
        <f t="shared" si="88"/>
        <v>30.005681818181817</v>
      </c>
      <c r="N702" s="27">
        <v>88</v>
      </c>
      <c r="O702" s="34">
        <f t="shared" si="83"/>
        <v>120.02272727272727</v>
      </c>
      <c r="P702" s="35">
        <f t="shared" si="86"/>
        <v>32.409999999999997</v>
      </c>
      <c r="Q702" s="40">
        <f t="shared" si="89"/>
        <v>240.04545454545453</v>
      </c>
      <c r="R702" s="35"/>
    </row>
    <row r="703" spans="1:18" x14ac:dyDescent="0.3">
      <c r="A703" s="32">
        <v>43581</v>
      </c>
      <c r="B703" s="33" t="s">
        <v>55</v>
      </c>
      <c r="C703" s="34">
        <v>2190</v>
      </c>
      <c r="D703" s="33">
        <v>80</v>
      </c>
      <c r="E703" s="35">
        <v>640.5</v>
      </c>
      <c r="F703" s="35">
        <v>2000</v>
      </c>
      <c r="G703" s="34">
        <v>440.5</v>
      </c>
      <c r="H703" s="34">
        <v>10</v>
      </c>
      <c r="I703" s="34">
        <v>2640.5</v>
      </c>
      <c r="J703" s="34">
        <v>405.85</v>
      </c>
      <c r="K703" s="34">
        <v>3046.35</v>
      </c>
      <c r="L703" s="33" t="s">
        <v>14</v>
      </c>
      <c r="M703" s="34">
        <f t="shared" si="88"/>
        <v>30.005681818181817</v>
      </c>
      <c r="N703" s="27">
        <v>88</v>
      </c>
      <c r="O703" s="34">
        <f t="shared" si="83"/>
        <v>120.02272727272727</v>
      </c>
      <c r="P703" s="35">
        <f t="shared" si="86"/>
        <v>31.21</v>
      </c>
      <c r="Q703" s="40">
        <f t="shared" si="89"/>
        <v>240.04545454545453</v>
      </c>
      <c r="R703" s="35"/>
    </row>
    <row r="704" spans="1:18" x14ac:dyDescent="0.3">
      <c r="A704" s="32">
        <v>43595</v>
      </c>
      <c r="B704" s="33" t="s">
        <v>55</v>
      </c>
      <c r="C704" s="34">
        <v>2350</v>
      </c>
      <c r="D704" s="30">
        <v>44</v>
      </c>
      <c r="E704" s="35">
        <v>827.75</v>
      </c>
      <c r="F704" s="35">
        <v>2000</v>
      </c>
      <c r="G704" s="34">
        <v>477.75</v>
      </c>
      <c r="H704" s="34">
        <v>0</v>
      </c>
      <c r="I704" s="34">
        <v>2827.75</v>
      </c>
      <c r="J704" s="34">
        <v>423.24</v>
      </c>
      <c r="K704" s="34">
        <v>3250.99</v>
      </c>
      <c r="L704" s="33" t="s">
        <v>14</v>
      </c>
      <c r="M704" s="34">
        <f t="shared" si="88"/>
        <v>64.267045454545453</v>
      </c>
      <c r="N704" s="27">
        <v>44</v>
      </c>
      <c r="O704" s="34">
        <v>0</v>
      </c>
      <c r="P704" s="35">
        <f t="shared" si="86"/>
        <v>0</v>
      </c>
      <c r="Q704" s="40">
        <f t="shared" si="89"/>
        <v>0</v>
      </c>
      <c r="R704" s="35"/>
    </row>
    <row r="705" spans="1:18" hidden="1" x14ac:dyDescent="0.3">
      <c r="A705" s="37" t="s">
        <v>77</v>
      </c>
      <c r="B705" s="33" t="s">
        <v>55</v>
      </c>
      <c r="C705" s="34">
        <v>2675</v>
      </c>
      <c r="D705" s="33">
        <v>80</v>
      </c>
      <c r="E705" s="33">
        <v>1295.93</v>
      </c>
      <c r="F705" s="33">
        <v>2000</v>
      </c>
      <c r="G705" s="34">
        <v>570.92999999999995</v>
      </c>
      <c r="H705" s="34">
        <v>50</v>
      </c>
      <c r="I705" s="34">
        <v>3295.93</v>
      </c>
      <c r="J705" s="34">
        <v>466.73</v>
      </c>
      <c r="K705" s="34">
        <v>3762.66</v>
      </c>
      <c r="L705" s="33" t="s">
        <v>14</v>
      </c>
      <c r="M705" s="34" t="e">
        <f t="shared" si="88"/>
        <v>#DIV/0!</v>
      </c>
      <c r="N705" s="27"/>
      <c r="O705" s="34" t="e">
        <f t="shared" si="83"/>
        <v>#DIV/0!</v>
      </c>
      <c r="P705" s="35" t="e">
        <f t="shared" si="86"/>
        <v>#VALUE!</v>
      </c>
      <c r="Q705" s="34" t="e">
        <f t="shared" si="84"/>
        <v>#DIV/0!</v>
      </c>
      <c r="R705" s="35"/>
    </row>
    <row r="706" spans="1:18" hidden="1" x14ac:dyDescent="0.3">
      <c r="A706" s="37" t="s">
        <v>77</v>
      </c>
      <c r="B706" s="33" t="s">
        <v>55</v>
      </c>
      <c r="C706" s="34">
        <v>2307</v>
      </c>
      <c r="D706" s="33">
        <v>80</v>
      </c>
      <c r="E706" s="33">
        <v>811.54</v>
      </c>
      <c r="F706" s="33">
        <v>2000</v>
      </c>
      <c r="G706" s="34">
        <v>474.54</v>
      </c>
      <c r="H706" s="34">
        <v>30</v>
      </c>
      <c r="I706" s="34">
        <v>2811.54</v>
      </c>
      <c r="J706" s="34">
        <v>421.73</v>
      </c>
      <c r="K706" s="34">
        <v>3233.27</v>
      </c>
      <c r="L706" s="33" t="s">
        <v>14</v>
      </c>
      <c r="M706" s="34" t="e">
        <f t="shared" si="88"/>
        <v>#DIV/0!</v>
      </c>
      <c r="N706" s="27"/>
      <c r="O706" s="34" t="e">
        <f t="shared" si="83"/>
        <v>#DIV/0!</v>
      </c>
      <c r="P706" s="35" t="e">
        <f t="shared" si="86"/>
        <v>#VALUE!</v>
      </c>
      <c r="Q706" s="34" t="e">
        <f t="shared" si="84"/>
        <v>#DIV/0!</v>
      </c>
      <c r="R706" s="35"/>
    </row>
    <row r="707" spans="1:18" x14ac:dyDescent="0.3">
      <c r="A707" s="32">
        <v>43637</v>
      </c>
      <c r="B707" s="33" t="s">
        <v>55</v>
      </c>
      <c r="C707" s="34">
        <v>2630</v>
      </c>
      <c r="D707" s="36">
        <v>50</v>
      </c>
      <c r="E707" s="35">
        <v>1081.3</v>
      </c>
      <c r="F707" s="35">
        <v>2000</v>
      </c>
      <c r="G707" s="34">
        <v>431.3</v>
      </c>
      <c r="H707" s="34">
        <v>20</v>
      </c>
      <c r="I707" s="34">
        <v>3081.3</v>
      </c>
      <c r="J707" s="34">
        <v>446.8</v>
      </c>
      <c r="K707" s="34">
        <v>3528.1</v>
      </c>
      <c r="L707" s="33" t="s">
        <v>14</v>
      </c>
      <c r="M707" s="34">
        <f t="shared" si="88"/>
        <v>53.125862068965517</v>
      </c>
      <c r="N707" s="27">
        <v>58</v>
      </c>
      <c r="O707" s="38">
        <f>(M707*0.5)*10</f>
        <v>265.62931034482756</v>
      </c>
      <c r="P707" s="35">
        <f t="shared" si="86"/>
        <v>63.75</v>
      </c>
      <c r="Q707" s="40">
        <f t="shared" ref="Q707:Q728" si="90">O707*2</f>
        <v>531.25862068965512</v>
      </c>
      <c r="R707" s="35"/>
    </row>
    <row r="708" spans="1:18" x14ac:dyDescent="0.3">
      <c r="A708" s="32">
        <v>43651</v>
      </c>
      <c r="B708" s="33" t="s">
        <v>55</v>
      </c>
      <c r="C708" s="34">
        <v>2095</v>
      </c>
      <c r="D708" s="33">
        <v>80</v>
      </c>
      <c r="E708" s="35">
        <v>353.48</v>
      </c>
      <c r="F708" s="35">
        <v>2000</v>
      </c>
      <c r="G708" s="34">
        <v>228.48</v>
      </c>
      <c r="H708" s="34">
        <v>30</v>
      </c>
      <c r="I708" s="34">
        <v>2353.48</v>
      </c>
      <c r="J708" s="34">
        <v>379.18</v>
      </c>
      <c r="K708" s="34">
        <v>2732.66</v>
      </c>
      <c r="L708" s="33" t="s">
        <v>14</v>
      </c>
      <c r="M708" s="34">
        <f t="shared" si="88"/>
        <v>27.687999999999999</v>
      </c>
      <c r="N708" s="27">
        <v>85</v>
      </c>
      <c r="O708" s="34">
        <f t="shared" si="83"/>
        <v>69.22</v>
      </c>
      <c r="P708" s="35">
        <f t="shared" si="86"/>
        <v>16.61</v>
      </c>
      <c r="Q708" s="40">
        <f t="shared" si="90"/>
        <v>138.44</v>
      </c>
      <c r="R708" s="35"/>
    </row>
    <row r="709" spans="1:18" x14ac:dyDescent="0.3">
      <c r="A709" s="32">
        <v>43665</v>
      </c>
      <c r="B709" s="33" t="s">
        <v>55</v>
      </c>
      <c r="C709" s="34">
        <v>1860</v>
      </c>
      <c r="D709" s="36">
        <v>45</v>
      </c>
      <c r="E709" s="35">
        <v>258.85000000000002</v>
      </c>
      <c r="F709" s="35">
        <v>1925</v>
      </c>
      <c r="G709" s="34">
        <v>258.85000000000002</v>
      </c>
      <c r="H709" s="34">
        <v>65</v>
      </c>
      <c r="I709" s="34">
        <v>2183.85</v>
      </c>
      <c r="J709" s="34">
        <v>363.41</v>
      </c>
      <c r="K709" s="34">
        <v>2547.2600000000002</v>
      </c>
      <c r="L709" s="33" t="s">
        <v>14</v>
      </c>
      <c r="M709" s="34">
        <f t="shared" si="88"/>
        <v>28.361688311688312</v>
      </c>
      <c r="N709" s="27">
        <v>77</v>
      </c>
      <c r="O709" s="38">
        <f>(M709*0.5)*5</f>
        <v>70.904220779220779</v>
      </c>
      <c r="P709" s="35">
        <f t="shared" si="86"/>
        <v>16.309999999999999</v>
      </c>
      <c r="Q709" s="40">
        <f t="shared" si="90"/>
        <v>141.80844155844156</v>
      </c>
      <c r="R709" s="35"/>
    </row>
    <row r="710" spans="1:18" x14ac:dyDescent="0.3">
      <c r="A710" s="32">
        <v>43679</v>
      </c>
      <c r="B710" s="33" t="s">
        <v>55</v>
      </c>
      <c r="C710" s="34">
        <v>2337</v>
      </c>
      <c r="D710" s="33">
        <v>80</v>
      </c>
      <c r="E710" s="35">
        <v>365.9</v>
      </c>
      <c r="F710" s="35">
        <v>2387</v>
      </c>
      <c r="G710" s="34">
        <v>365.94</v>
      </c>
      <c r="H710" s="34">
        <v>49.96</v>
      </c>
      <c r="I710" s="34">
        <v>2752.9</v>
      </c>
      <c r="J710" s="34">
        <v>416.29</v>
      </c>
      <c r="K710" s="34">
        <v>3169.19</v>
      </c>
      <c r="L710" s="33" t="s">
        <v>14</v>
      </c>
      <c r="M710" s="34">
        <f t="shared" si="88"/>
        <v>26.598067632850242</v>
      </c>
      <c r="N710" s="27">
        <v>103.5</v>
      </c>
      <c r="O710" s="34">
        <f t="shared" si="83"/>
        <v>312.52729468599034</v>
      </c>
      <c r="P710" s="35">
        <f t="shared" si="86"/>
        <v>71.88</v>
      </c>
      <c r="Q710" s="40">
        <f t="shared" si="90"/>
        <v>625.05458937198068</v>
      </c>
      <c r="R710" s="35"/>
    </row>
    <row r="711" spans="1:18" x14ac:dyDescent="0.3">
      <c r="A711" s="32">
        <v>43693</v>
      </c>
      <c r="B711" s="33" t="s">
        <v>55</v>
      </c>
      <c r="C711" s="34">
        <v>2212</v>
      </c>
      <c r="D711" s="33">
        <v>80</v>
      </c>
      <c r="E711" s="35">
        <v>384.88</v>
      </c>
      <c r="F711" s="35">
        <v>2212</v>
      </c>
      <c r="G711" s="34">
        <v>334.88</v>
      </c>
      <c r="H711" s="34">
        <v>50</v>
      </c>
      <c r="I711" s="34">
        <v>2596.88</v>
      </c>
      <c r="J711" s="34">
        <v>401.79</v>
      </c>
      <c r="K711" s="34">
        <v>2998.67</v>
      </c>
      <c r="L711" s="33" t="s">
        <v>14</v>
      </c>
      <c r="M711" s="34">
        <f t="shared" si="88"/>
        <v>28.694806629834254</v>
      </c>
      <c r="N711" s="27">
        <v>90.5</v>
      </c>
      <c r="O711" s="34">
        <f t="shared" si="83"/>
        <v>150.64773480662984</v>
      </c>
      <c r="P711" s="35">
        <f t="shared" si="86"/>
        <v>33.14</v>
      </c>
      <c r="Q711" s="40">
        <f t="shared" si="90"/>
        <v>301.29546961325968</v>
      </c>
      <c r="R711" s="35"/>
    </row>
    <row r="712" spans="1:18" x14ac:dyDescent="0.3">
      <c r="A712" s="32">
        <v>43707</v>
      </c>
      <c r="B712" s="33" t="s">
        <v>55</v>
      </c>
      <c r="C712" s="34">
        <v>2637</v>
      </c>
      <c r="D712" s="33">
        <v>80</v>
      </c>
      <c r="E712" s="35">
        <v>440.5</v>
      </c>
      <c r="F712" s="35">
        <v>2687</v>
      </c>
      <c r="G712" s="34">
        <v>440.5</v>
      </c>
      <c r="H712" s="34">
        <v>50</v>
      </c>
      <c r="I712" s="34">
        <v>3127.5</v>
      </c>
      <c r="J712" s="34">
        <v>451.1</v>
      </c>
      <c r="K712" s="34">
        <v>3578.6</v>
      </c>
      <c r="L712" s="33" t="s">
        <v>14</v>
      </c>
      <c r="M712" s="34">
        <f t="shared" si="88"/>
        <v>30.812807881773399</v>
      </c>
      <c r="N712" s="27">
        <v>101.5</v>
      </c>
      <c r="O712" s="34">
        <f t="shared" si="83"/>
        <v>331.23768472906403</v>
      </c>
      <c r="P712" s="35">
        <f t="shared" si="86"/>
        <v>72.87</v>
      </c>
      <c r="Q712" s="40">
        <f t="shared" si="90"/>
        <v>662.47536945812806</v>
      </c>
      <c r="R712" s="35"/>
    </row>
    <row r="713" spans="1:18" x14ac:dyDescent="0.3">
      <c r="A713" s="32">
        <v>43721</v>
      </c>
      <c r="B713" s="33" t="s">
        <v>55</v>
      </c>
      <c r="C713" s="34">
        <v>2512</v>
      </c>
      <c r="D713" s="33">
        <v>80</v>
      </c>
      <c r="E713" s="35">
        <v>397</v>
      </c>
      <c r="F713" s="35">
        <v>2512</v>
      </c>
      <c r="G713" s="34">
        <v>397</v>
      </c>
      <c r="H713" s="34">
        <v>0</v>
      </c>
      <c r="I713" s="34">
        <v>2909</v>
      </c>
      <c r="J713" s="34">
        <v>391.42</v>
      </c>
      <c r="K713" s="34">
        <v>3300.42</v>
      </c>
      <c r="L713" s="33" t="s">
        <v>14</v>
      </c>
      <c r="M713" s="34">
        <f t="shared" si="88"/>
        <v>28.660098522167488</v>
      </c>
      <c r="N713" s="27">
        <v>101.5</v>
      </c>
      <c r="O713" s="34">
        <f t="shared" si="83"/>
        <v>308.0960591133005</v>
      </c>
      <c r="P713" s="35">
        <f t="shared" si="86"/>
        <v>64.7</v>
      </c>
      <c r="Q713" s="40">
        <f t="shared" si="90"/>
        <v>616.192118226601</v>
      </c>
      <c r="R713" s="35"/>
    </row>
    <row r="714" spans="1:18" x14ac:dyDescent="0.3">
      <c r="A714" s="32">
        <v>43735</v>
      </c>
      <c r="B714" s="33" t="s">
        <v>55</v>
      </c>
      <c r="C714" s="34">
        <v>2925</v>
      </c>
      <c r="D714" s="33">
        <v>80</v>
      </c>
      <c r="E714" s="35">
        <v>499.63</v>
      </c>
      <c r="F714" s="35">
        <v>2925</v>
      </c>
      <c r="G714" s="34">
        <v>499.63</v>
      </c>
      <c r="H714" s="34">
        <v>0</v>
      </c>
      <c r="I714" s="34">
        <v>3424.63</v>
      </c>
      <c r="J714" s="34">
        <v>422.53</v>
      </c>
      <c r="K714" s="34">
        <v>3847.16</v>
      </c>
      <c r="L714" s="33" t="s">
        <v>14</v>
      </c>
      <c r="M714" s="34">
        <f t="shared" si="88"/>
        <v>29.270341880341881</v>
      </c>
      <c r="N714" s="27">
        <v>117</v>
      </c>
      <c r="O714" s="34">
        <f t="shared" si="83"/>
        <v>541.50132478632486</v>
      </c>
      <c r="P714" s="35">
        <f t="shared" si="86"/>
        <v>113.72</v>
      </c>
      <c r="Q714" s="40">
        <f t="shared" si="90"/>
        <v>1083.0026495726497</v>
      </c>
      <c r="R714" s="35"/>
    </row>
    <row r="715" spans="1:18" x14ac:dyDescent="0.3">
      <c r="A715" s="32">
        <v>43749</v>
      </c>
      <c r="B715" s="33" t="s">
        <v>55</v>
      </c>
      <c r="C715" s="34">
        <v>2500</v>
      </c>
      <c r="D715" s="33">
        <v>80</v>
      </c>
      <c r="E715" s="35">
        <v>418.87</v>
      </c>
      <c r="F715" s="35">
        <v>2600</v>
      </c>
      <c r="G715" s="34">
        <v>418.87</v>
      </c>
      <c r="H715" s="34">
        <v>100</v>
      </c>
      <c r="I715" s="34">
        <v>3018.87</v>
      </c>
      <c r="J715" s="34">
        <v>391.48</v>
      </c>
      <c r="K715" s="34">
        <v>3410.35</v>
      </c>
      <c r="L715" s="33" t="s">
        <v>14</v>
      </c>
      <c r="M715" s="34">
        <f t="shared" si="88"/>
        <v>29.16782608695652</v>
      </c>
      <c r="N715" s="27">
        <v>103.5</v>
      </c>
      <c r="O715" s="34">
        <f t="shared" si="83"/>
        <v>342.72195652173912</v>
      </c>
      <c r="P715" s="35">
        <f t="shared" si="86"/>
        <v>68.540000000000006</v>
      </c>
      <c r="Q715" s="40">
        <f t="shared" si="90"/>
        <v>685.44391304347823</v>
      </c>
      <c r="R715" s="35"/>
    </row>
    <row r="716" spans="1:18" x14ac:dyDescent="0.3">
      <c r="A716" s="32">
        <v>43763</v>
      </c>
      <c r="B716" s="33" t="s">
        <v>55</v>
      </c>
      <c r="C716" s="34">
        <v>2316</v>
      </c>
      <c r="D716" s="36">
        <v>49.5</v>
      </c>
      <c r="E716" s="35">
        <v>360.74</v>
      </c>
      <c r="F716" s="35">
        <v>2366</v>
      </c>
      <c r="G716" s="34">
        <v>360.74</v>
      </c>
      <c r="H716" s="34">
        <v>50</v>
      </c>
      <c r="I716" s="34">
        <v>2726.74</v>
      </c>
      <c r="J716" s="34">
        <v>369.14</v>
      </c>
      <c r="K716" s="34">
        <v>3095.88</v>
      </c>
      <c r="L716" s="33" t="s">
        <v>14</v>
      </c>
      <c r="M716" s="34">
        <f t="shared" si="88"/>
        <v>31.341839080459767</v>
      </c>
      <c r="N716" s="27">
        <v>87</v>
      </c>
      <c r="O716" s="38">
        <f>(M716*0.5)*9.5</f>
        <v>148.87373563218389</v>
      </c>
      <c r="P716" s="35">
        <f t="shared" si="86"/>
        <v>29.77</v>
      </c>
      <c r="Q716" s="40">
        <f t="shared" si="90"/>
        <v>297.74747126436779</v>
      </c>
      <c r="R716" s="35"/>
    </row>
    <row r="717" spans="1:18" x14ac:dyDescent="0.3">
      <c r="A717" s="32">
        <v>43777</v>
      </c>
      <c r="B717" s="33" t="s">
        <v>55</v>
      </c>
      <c r="C717" s="34">
        <v>2342</v>
      </c>
      <c r="D717" s="33">
        <v>80</v>
      </c>
      <c r="E717" s="35">
        <v>367.19</v>
      </c>
      <c r="F717" s="35">
        <v>2392</v>
      </c>
      <c r="G717" s="34">
        <v>367.19</v>
      </c>
      <c r="H717" s="34">
        <v>50</v>
      </c>
      <c r="I717" s="34">
        <v>2759.19</v>
      </c>
      <c r="J717" s="34">
        <v>371.62</v>
      </c>
      <c r="K717" s="34">
        <v>3130.81</v>
      </c>
      <c r="L717" s="33" t="s">
        <v>14</v>
      </c>
      <c r="M717" s="34">
        <f t="shared" si="88"/>
        <v>29.668709677419354</v>
      </c>
      <c r="N717" s="27">
        <v>93</v>
      </c>
      <c r="O717" s="34">
        <f t="shared" si="83"/>
        <v>192.8466129032258</v>
      </c>
      <c r="P717" s="35">
        <f t="shared" si="86"/>
        <v>38.57</v>
      </c>
      <c r="Q717" s="40">
        <f t="shared" si="90"/>
        <v>385.69322580645161</v>
      </c>
      <c r="R717" s="35"/>
    </row>
    <row r="718" spans="1:18" x14ac:dyDescent="0.3">
      <c r="A718" s="32">
        <v>43791</v>
      </c>
      <c r="B718" s="33" t="s">
        <v>55</v>
      </c>
      <c r="C718" s="34">
        <v>2316</v>
      </c>
      <c r="D718" s="33">
        <v>80</v>
      </c>
      <c r="E718" s="35">
        <v>360.71</v>
      </c>
      <c r="F718" s="35">
        <v>2366</v>
      </c>
      <c r="G718" s="34">
        <v>360.71</v>
      </c>
      <c r="H718" s="34">
        <v>50</v>
      </c>
      <c r="I718" s="34">
        <v>2726.71</v>
      </c>
      <c r="J718" s="34">
        <v>369.12</v>
      </c>
      <c r="K718" s="34">
        <v>3095.83</v>
      </c>
      <c r="L718" s="33" t="s">
        <v>14</v>
      </c>
      <c r="M718" s="34">
        <f t="shared" si="88"/>
        <v>29.963846153846156</v>
      </c>
      <c r="N718" s="27">
        <v>91</v>
      </c>
      <c r="O718" s="34">
        <f t="shared" si="83"/>
        <v>164.80115384615385</v>
      </c>
      <c r="P718" s="35">
        <f t="shared" si="86"/>
        <v>31.31</v>
      </c>
      <c r="Q718" s="40">
        <f t="shared" si="90"/>
        <v>329.6023076923077</v>
      </c>
      <c r="R718" s="35"/>
    </row>
    <row r="719" spans="1:18" x14ac:dyDescent="0.3">
      <c r="A719" s="32">
        <v>43805</v>
      </c>
      <c r="B719" s="33" t="s">
        <v>55</v>
      </c>
      <c r="C719" s="34">
        <v>1946</v>
      </c>
      <c r="D719" s="36">
        <v>49.5</v>
      </c>
      <c r="E719" s="35">
        <v>269.97000000000003</v>
      </c>
      <c r="F719" s="35">
        <v>1976</v>
      </c>
      <c r="G719" s="34">
        <v>269.97000000000003</v>
      </c>
      <c r="H719" s="34">
        <v>30</v>
      </c>
      <c r="I719" s="34">
        <v>2245.9699999999998</v>
      </c>
      <c r="J719" s="34">
        <v>332.36</v>
      </c>
      <c r="K719" s="34">
        <v>2578.33</v>
      </c>
      <c r="L719" s="33" t="s">
        <v>14</v>
      </c>
      <c r="M719" s="34">
        <f t="shared" si="88"/>
        <v>29.552236842105266</v>
      </c>
      <c r="N719" s="27">
        <v>76</v>
      </c>
      <c r="O719" s="38">
        <f>(M719*0.5)*9.5</f>
        <v>140.37312500000002</v>
      </c>
      <c r="P719" s="35">
        <f t="shared" si="86"/>
        <v>26.67</v>
      </c>
      <c r="Q719" s="40">
        <f t="shared" si="90"/>
        <v>280.74625000000003</v>
      </c>
      <c r="R719" s="35"/>
    </row>
    <row r="720" spans="1:18" x14ac:dyDescent="0.3">
      <c r="A720" s="32">
        <v>43819</v>
      </c>
      <c r="B720" s="33" t="s">
        <v>55</v>
      </c>
      <c r="C720" s="34">
        <v>2381</v>
      </c>
      <c r="D720" s="33">
        <v>80</v>
      </c>
      <c r="E720" s="35">
        <v>376.87</v>
      </c>
      <c r="F720" s="35">
        <v>2431</v>
      </c>
      <c r="G720" s="34">
        <v>376.87</v>
      </c>
      <c r="H720" s="34">
        <v>50</v>
      </c>
      <c r="I720" s="34">
        <v>2807.87</v>
      </c>
      <c r="J720" s="34">
        <v>375.34</v>
      </c>
      <c r="K720" s="34">
        <v>3183.21</v>
      </c>
      <c r="L720" s="33" t="s">
        <v>14</v>
      </c>
      <c r="M720" s="34">
        <f t="shared" si="88"/>
        <v>30.030695187165776</v>
      </c>
      <c r="N720" s="27">
        <v>93.5</v>
      </c>
      <c r="O720" s="34">
        <f t="shared" si="83"/>
        <v>202.70719251336899</v>
      </c>
      <c r="P720" s="35">
        <f t="shared" si="86"/>
        <v>36.49</v>
      </c>
      <c r="Q720" s="40">
        <f t="shared" si="90"/>
        <v>405.41438502673799</v>
      </c>
      <c r="R720" s="35"/>
    </row>
    <row r="721" spans="1:19" x14ac:dyDescent="0.3">
      <c r="A721" s="32">
        <v>43833</v>
      </c>
      <c r="B721" s="33" t="s">
        <v>55</v>
      </c>
      <c r="C721" s="34">
        <v>2093</v>
      </c>
      <c r="D721" s="36">
        <v>48.5</v>
      </c>
      <c r="E721" s="35">
        <v>291.26</v>
      </c>
      <c r="F721" s="35">
        <v>2093</v>
      </c>
      <c r="G721" s="34">
        <v>291.26</v>
      </c>
      <c r="H721" s="34">
        <v>0</v>
      </c>
      <c r="I721" s="34">
        <v>2384.2600000000002</v>
      </c>
      <c r="J721" s="34">
        <v>396.35</v>
      </c>
      <c r="K721" s="34">
        <v>2780.61</v>
      </c>
      <c r="L721" s="33" t="s">
        <v>14</v>
      </c>
      <c r="M721" s="34">
        <f t="shared" si="88"/>
        <v>29.618136645962736</v>
      </c>
      <c r="N721" s="27">
        <v>80.5</v>
      </c>
      <c r="O721" s="38">
        <f>(M721*0.5)*8.5</f>
        <v>125.87708074534163</v>
      </c>
      <c r="P721" s="35">
        <f t="shared" si="86"/>
        <v>22.66</v>
      </c>
      <c r="Q721" s="40">
        <f t="shared" si="90"/>
        <v>251.75416149068326</v>
      </c>
      <c r="R721" s="35"/>
    </row>
    <row r="722" spans="1:19" x14ac:dyDescent="0.3">
      <c r="A722" s="32">
        <v>43847</v>
      </c>
      <c r="B722" s="33" t="s">
        <v>55</v>
      </c>
      <c r="C722" s="34">
        <v>2121</v>
      </c>
      <c r="D722" s="36">
        <v>51.5</v>
      </c>
      <c r="E722" s="35"/>
      <c r="F722" s="35">
        <v>2221</v>
      </c>
      <c r="G722" s="34">
        <v>262.05</v>
      </c>
      <c r="H722" s="34">
        <v>100</v>
      </c>
      <c r="I722" s="34">
        <v>2483.0500000000002</v>
      </c>
      <c r="J722" s="34">
        <v>380.2</v>
      </c>
      <c r="K722" s="34">
        <v>2863.25</v>
      </c>
      <c r="L722" s="33" t="s">
        <v>14</v>
      </c>
      <c r="M722" s="34">
        <f t="shared" si="88"/>
        <v>26.598802395209582</v>
      </c>
      <c r="N722" s="27">
        <v>83.5</v>
      </c>
      <c r="O722" s="38">
        <f>(M722*0.5)*11.5</f>
        <v>152.94311377245509</v>
      </c>
      <c r="P722" s="35">
        <f t="shared" si="86"/>
        <v>26</v>
      </c>
      <c r="Q722" s="40">
        <f t="shared" si="90"/>
        <v>305.88622754491018</v>
      </c>
      <c r="R722" s="35"/>
    </row>
    <row r="723" spans="1:19" x14ac:dyDescent="0.3">
      <c r="A723" s="32">
        <v>43861</v>
      </c>
      <c r="B723" s="33" t="s">
        <v>55</v>
      </c>
      <c r="C723" s="34">
        <v>2394</v>
      </c>
      <c r="D723" s="33">
        <v>80</v>
      </c>
      <c r="E723" s="35"/>
      <c r="F723" s="35">
        <v>2444</v>
      </c>
      <c r="G723" s="34">
        <v>301.94</v>
      </c>
      <c r="H723" s="34">
        <v>50</v>
      </c>
      <c r="I723" s="34">
        <v>2745.94</v>
      </c>
      <c r="J723" s="34">
        <v>401.94</v>
      </c>
      <c r="K723" s="34">
        <v>3147.88</v>
      </c>
      <c r="L723" s="33" t="s">
        <v>14</v>
      </c>
      <c r="M723" s="34">
        <f t="shared" si="88"/>
        <v>26</v>
      </c>
      <c r="N723" s="27">
        <v>94</v>
      </c>
      <c r="O723" s="34">
        <f t="shared" si="83"/>
        <v>182</v>
      </c>
      <c r="P723" s="35">
        <f t="shared" si="86"/>
        <v>30.94</v>
      </c>
      <c r="Q723" s="40">
        <f t="shared" si="90"/>
        <v>364</v>
      </c>
      <c r="R723" s="35"/>
    </row>
    <row r="724" spans="1:19" x14ac:dyDescent="0.3">
      <c r="A724" s="32">
        <v>43875</v>
      </c>
      <c r="B724" s="33" t="s">
        <v>55</v>
      </c>
      <c r="C724" s="34">
        <v>2173</v>
      </c>
      <c r="D724" s="36">
        <v>52.5</v>
      </c>
      <c r="E724" s="35"/>
      <c r="F724" s="35">
        <v>2223</v>
      </c>
      <c r="G724" s="34">
        <v>253.58</v>
      </c>
      <c r="H724" s="34">
        <v>50</v>
      </c>
      <c r="I724" s="34">
        <v>2476.58</v>
      </c>
      <c r="J724" s="34">
        <v>318.94</v>
      </c>
      <c r="K724" s="34">
        <v>2795.52</v>
      </c>
      <c r="L724" s="33" t="s">
        <v>14</v>
      </c>
      <c r="M724" s="34">
        <f t="shared" si="88"/>
        <v>26</v>
      </c>
      <c r="N724" s="27">
        <v>85.5</v>
      </c>
      <c r="O724" s="38">
        <f>(M724*0.5)*12.5</f>
        <v>162.5</v>
      </c>
      <c r="P724" s="35">
        <f t="shared" si="86"/>
        <v>26</v>
      </c>
      <c r="Q724" s="40">
        <f t="shared" si="90"/>
        <v>325</v>
      </c>
      <c r="R724" s="35"/>
    </row>
    <row r="725" spans="1:19" x14ac:dyDescent="0.3">
      <c r="A725" s="32">
        <v>43889</v>
      </c>
      <c r="B725" s="33" t="s">
        <v>55</v>
      </c>
      <c r="C725" s="34">
        <v>2264</v>
      </c>
      <c r="D725" s="33">
        <v>80</v>
      </c>
      <c r="E725" s="35"/>
      <c r="F725" s="35">
        <v>2314</v>
      </c>
      <c r="G725" s="34">
        <v>269.86</v>
      </c>
      <c r="H725" s="34">
        <v>50</v>
      </c>
      <c r="I725" s="34">
        <v>2583.86</v>
      </c>
      <c r="J725" s="34">
        <v>327.39</v>
      </c>
      <c r="K725" s="34">
        <v>2911.25</v>
      </c>
      <c r="L725" s="33" t="s">
        <v>14</v>
      </c>
      <c r="M725" s="34">
        <f t="shared" si="88"/>
        <v>23.612244897959183</v>
      </c>
      <c r="N725" s="27">
        <v>98</v>
      </c>
      <c r="O725" s="34">
        <f t="shared" si="83"/>
        <v>212.51020408163265</v>
      </c>
      <c r="P725" s="35">
        <f t="shared" si="86"/>
        <v>34</v>
      </c>
      <c r="Q725" s="40">
        <f t="shared" si="90"/>
        <v>425.0204081632653</v>
      </c>
      <c r="R725" s="35"/>
    </row>
    <row r="726" spans="1:19" x14ac:dyDescent="0.3">
      <c r="A726" s="29">
        <v>43903</v>
      </c>
      <c r="B726" s="33" t="s">
        <v>55</v>
      </c>
      <c r="C726" s="34">
        <v>2238</v>
      </c>
      <c r="D726" s="36">
        <v>48</v>
      </c>
      <c r="E726" s="35"/>
      <c r="F726" s="35">
        <v>2288</v>
      </c>
      <c r="G726" s="34">
        <v>359.4</v>
      </c>
      <c r="H726" s="34">
        <v>50</v>
      </c>
      <c r="I726" s="34">
        <v>2647.4</v>
      </c>
      <c r="J726" s="34">
        <v>324.97000000000003</v>
      </c>
      <c r="K726" s="34">
        <v>2972.37</v>
      </c>
      <c r="L726" s="33" t="s">
        <v>14</v>
      </c>
      <c r="M726" s="34">
        <f t="shared" si="88"/>
        <v>28.6</v>
      </c>
      <c r="N726" s="27">
        <v>80</v>
      </c>
      <c r="O726" s="38">
        <f>(M726*0.5)*8</f>
        <v>114.4</v>
      </c>
      <c r="P726" s="35">
        <f t="shared" si="86"/>
        <v>17.16</v>
      </c>
      <c r="Q726" s="40">
        <f t="shared" si="90"/>
        <v>228.8</v>
      </c>
      <c r="R726" s="35"/>
    </row>
    <row r="727" spans="1:19" x14ac:dyDescent="0.3">
      <c r="A727" s="32">
        <v>43917</v>
      </c>
      <c r="B727" s="33" t="s">
        <v>55</v>
      </c>
      <c r="C727" s="34">
        <v>1959.7</v>
      </c>
      <c r="D727" s="30">
        <v>79</v>
      </c>
      <c r="E727" s="35"/>
      <c r="F727" s="35">
        <v>2370</v>
      </c>
      <c r="G727" s="34">
        <v>375.3</v>
      </c>
      <c r="H727" s="34">
        <v>35</v>
      </c>
      <c r="I727" s="34">
        <v>2370</v>
      </c>
      <c r="J727" s="34">
        <v>331.18</v>
      </c>
      <c r="K727" s="34">
        <v>2701.18</v>
      </c>
      <c r="L727" s="33" t="s">
        <v>14</v>
      </c>
      <c r="M727" s="34">
        <f t="shared" si="88"/>
        <v>30</v>
      </c>
      <c r="N727" s="27">
        <v>79</v>
      </c>
      <c r="O727" s="34">
        <v>0</v>
      </c>
      <c r="P727" s="35">
        <f t="shared" si="86"/>
        <v>0</v>
      </c>
      <c r="Q727" s="40">
        <f t="shared" si="90"/>
        <v>0</v>
      </c>
      <c r="R727" s="35"/>
    </row>
    <row r="728" spans="1:19" x14ac:dyDescent="0.3">
      <c r="A728" s="32">
        <v>43931</v>
      </c>
      <c r="B728" s="33" t="s">
        <v>55</v>
      </c>
      <c r="C728" s="34">
        <v>1063.7</v>
      </c>
      <c r="D728" s="30">
        <v>24</v>
      </c>
      <c r="E728" s="35"/>
      <c r="F728" s="35">
        <v>1200</v>
      </c>
      <c r="G728" s="34">
        <v>136.30000000000001</v>
      </c>
      <c r="H728" s="34">
        <v>0</v>
      </c>
      <c r="I728" s="34">
        <v>1200</v>
      </c>
      <c r="J728" s="34">
        <v>167.69</v>
      </c>
      <c r="K728" s="34">
        <v>1367.69</v>
      </c>
      <c r="L728" s="33" t="s">
        <v>14</v>
      </c>
      <c r="M728" s="34">
        <f t="shared" si="88"/>
        <v>50</v>
      </c>
      <c r="N728" s="27">
        <v>24</v>
      </c>
      <c r="O728" s="34">
        <v>0</v>
      </c>
      <c r="P728" s="35">
        <f t="shared" si="86"/>
        <v>0</v>
      </c>
      <c r="Q728" s="40">
        <f t="shared" si="90"/>
        <v>0</v>
      </c>
      <c r="R728" s="35"/>
    </row>
    <row r="729" spans="1:19" hidden="1" x14ac:dyDescent="0.3">
      <c r="A729" s="37" t="s">
        <v>77</v>
      </c>
      <c r="B729" s="33" t="s">
        <v>55</v>
      </c>
      <c r="C729" s="34">
        <v>500.07</v>
      </c>
      <c r="D729" s="33">
        <v>18.38</v>
      </c>
      <c r="E729" s="33"/>
      <c r="F729" s="33">
        <v>551.4</v>
      </c>
      <c r="G729" s="34">
        <v>51.33</v>
      </c>
      <c r="H729" s="34">
        <v>0</v>
      </c>
      <c r="I729" s="34">
        <v>551.4</v>
      </c>
      <c r="J729" s="34">
        <v>76.47</v>
      </c>
      <c r="K729" s="34">
        <v>627.87</v>
      </c>
      <c r="L729" s="33" t="s">
        <v>14</v>
      </c>
      <c r="M729" s="34" t="e">
        <f t="shared" si="88"/>
        <v>#DIV/0!</v>
      </c>
      <c r="N729" s="27"/>
      <c r="O729" s="34" t="e">
        <f t="shared" si="83"/>
        <v>#DIV/0!</v>
      </c>
      <c r="P729" s="35" t="e">
        <f t="shared" si="86"/>
        <v>#VALUE!</v>
      </c>
      <c r="Q729" s="34" t="e">
        <f t="shared" si="84"/>
        <v>#DIV/0!</v>
      </c>
      <c r="R729" s="35"/>
    </row>
    <row r="730" spans="1:19" hidden="1" x14ac:dyDescent="0.3">
      <c r="A730" s="37" t="s">
        <v>77</v>
      </c>
      <c r="B730" s="33" t="s">
        <v>55</v>
      </c>
      <c r="C730" s="34">
        <v>1800</v>
      </c>
      <c r="D730" s="33">
        <v>0</v>
      </c>
      <c r="E730" s="33"/>
      <c r="F730" s="36">
        <v>1800</v>
      </c>
      <c r="G730" s="34">
        <v>0</v>
      </c>
      <c r="H730" s="34">
        <v>0</v>
      </c>
      <c r="I730" s="34">
        <v>1800</v>
      </c>
      <c r="J730" s="34">
        <v>0</v>
      </c>
      <c r="K730" s="34">
        <v>1800</v>
      </c>
      <c r="L730" s="33">
        <v>100213</v>
      </c>
      <c r="M730" s="34" t="e">
        <f t="shared" si="88"/>
        <v>#DIV/0!</v>
      </c>
      <c r="N730" s="27"/>
      <c r="O730" s="34" t="e">
        <f t="shared" si="83"/>
        <v>#DIV/0!</v>
      </c>
      <c r="P730" s="35" t="e">
        <f t="shared" si="86"/>
        <v>#VALUE!</v>
      </c>
      <c r="Q730" s="34" t="e">
        <f t="shared" si="84"/>
        <v>#DIV/0!</v>
      </c>
      <c r="R730" s="35"/>
    </row>
    <row r="731" spans="1:19" hidden="1" x14ac:dyDescent="0.3">
      <c r="A731" s="37" t="s">
        <v>77</v>
      </c>
      <c r="B731" s="33" t="s">
        <v>55</v>
      </c>
      <c r="C731" s="34">
        <v>250.07</v>
      </c>
      <c r="D731" s="33">
        <v>25.73</v>
      </c>
      <c r="E731" s="33"/>
      <c r="F731" s="33">
        <v>771.9</v>
      </c>
      <c r="G731" s="34">
        <v>71.83</v>
      </c>
      <c r="H731" s="34">
        <v>450</v>
      </c>
      <c r="I731" s="34">
        <v>771.9</v>
      </c>
      <c r="J731" s="34">
        <v>107.04</v>
      </c>
      <c r="K731" s="34">
        <v>878.94</v>
      </c>
      <c r="L731" s="33" t="s">
        <v>14</v>
      </c>
      <c r="M731" s="34" t="e">
        <f t="shared" si="88"/>
        <v>#DIV/0!</v>
      </c>
      <c r="N731" s="27"/>
      <c r="O731" s="34" t="e">
        <f t="shared" si="83"/>
        <v>#DIV/0!</v>
      </c>
      <c r="P731" s="35" t="e">
        <f t="shared" si="86"/>
        <v>#VALUE!</v>
      </c>
      <c r="Q731" s="34" t="e">
        <f t="shared" si="84"/>
        <v>#DIV/0!</v>
      </c>
      <c r="R731" s="35"/>
    </row>
    <row r="732" spans="1:19" hidden="1" x14ac:dyDescent="0.3">
      <c r="A732" s="37" t="s">
        <v>77</v>
      </c>
      <c r="B732" s="33" t="s">
        <v>55</v>
      </c>
      <c r="C732" s="34">
        <v>450</v>
      </c>
      <c r="D732" s="33">
        <v>0</v>
      </c>
      <c r="E732" s="33"/>
      <c r="F732" s="36">
        <v>450</v>
      </c>
      <c r="G732" s="34">
        <v>0</v>
      </c>
      <c r="H732" s="34">
        <v>0</v>
      </c>
      <c r="I732" s="34">
        <v>450</v>
      </c>
      <c r="J732" s="34">
        <v>0</v>
      </c>
      <c r="K732" s="34">
        <v>450</v>
      </c>
      <c r="L732" s="33" t="s">
        <v>14</v>
      </c>
      <c r="M732" s="34" t="e">
        <f t="shared" si="88"/>
        <v>#DIV/0!</v>
      </c>
      <c r="N732" s="27"/>
      <c r="O732" s="34" t="e">
        <f t="shared" si="83"/>
        <v>#DIV/0!</v>
      </c>
      <c r="P732" s="35" t="e">
        <f t="shared" si="86"/>
        <v>#VALUE!</v>
      </c>
      <c r="Q732" s="34" t="e">
        <f t="shared" si="84"/>
        <v>#DIV/0!</v>
      </c>
      <c r="R732" s="35"/>
    </row>
    <row r="733" spans="1:19" x14ac:dyDescent="0.3">
      <c r="A733" s="32">
        <v>43973</v>
      </c>
      <c r="B733" s="33" t="s">
        <v>55</v>
      </c>
      <c r="C733" s="34">
        <v>435.34</v>
      </c>
      <c r="D733" s="30">
        <v>16</v>
      </c>
      <c r="E733" s="35"/>
      <c r="F733" s="35">
        <v>480</v>
      </c>
      <c r="G733" s="34">
        <v>44.66</v>
      </c>
      <c r="H733" s="34">
        <v>0</v>
      </c>
      <c r="I733" s="34">
        <v>480</v>
      </c>
      <c r="J733" s="34">
        <v>66.56</v>
      </c>
      <c r="K733" s="34">
        <v>546.55999999999995</v>
      </c>
      <c r="L733" s="33" t="s">
        <v>14</v>
      </c>
      <c r="M733" s="34">
        <f t="shared" si="88"/>
        <v>30</v>
      </c>
      <c r="N733" s="27">
        <v>16</v>
      </c>
      <c r="O733" s="34">
        <v>0</v>
      </c>
      <c r="P733" s="35">
        <f t="shared" si="86"/>
        <v>0</v>
      </c>
      <c r="Q733" s="40">
        <f t="shared" ref="Q733:Q749" si="91">O733*2</f>
        <v>0</v>
      </c>
      <c r="R733" s="35"/>
    </row>
    <row r="734" spans="1:19" x14ac:dyDescent="0.3">
      <c r="A734" s="32">
        <v>43987</v>
      </c>
      <c r="B734" s="33" t="s">
        <v>55</v>
      </c>
      <c r="C734" s="34">
        <v>1829.45</v>
      </c>
      <c r="D734" s="30">
        <v>72</v>
      </c>
      <c r="E734" s="35"/>
      <c r="F734" s="35">
        <v>2160</v>
      </c>
      <c r="G734" s="34">
        <v>330.55</v>
      </c>
      <c r="H734" s="34">
        <v>0</v>
      </c>
      <c r="I734" s="34">
        <v>2160</v>
      </c>
      <c r="J734" s="34">
        <v>299.52999999999997</v>
      </c>
      <c r="K734" s="34">
        <v>2459.5300000000002</v>
      </c>
      <c r="L734" s="33" t="s">
        <v>14</v>
      </c>
      <c r="M734" s="34">
        <f t="shared" si="88"/>
        <v>30</v>
      </c>
      <c r="N734" s="27">
        <v>72</v>
      </c>
      <c r="O734" s="34">
        <v>0</v>
      </c>
      <c r="P734" s="35">
        <f t="shared" si="86"/>
        <v>0</v>
      </c>
      <c r="Q734" s="40">
        <f t="shared" si="91"/>
        <v>0</v>
      </c>
      <c r="R734" s="35"/>
    </row>
    <row r="735" spans="1:19" x14ac:dyDescent="0.3">
      <c r="A735" s="29">
        <v>43995</v>
      </c>
      <c r="B735" s="33" t="s">
        <v>55</v>
      </c>
      <c r="C735" s="34">
        <v>0</v>
      </c>
      <c r="D735" s="36">
        <v>80</v>
      </c>
      <c r="E735" s="35"/>
      <c r="F735" s="49">
        <v>1440</v>
      </c>
      <c r="G735" s="34"/>
      <c r="H735" s="34"/>
      <c r="I735" s="34"/>
      <c r="J735" s="34"/>
      <c r="K735" s="34"/>
      <c r="L735" s="33"/>
      <c r="M735" s="34">
        <v>32.58</v>
      </c>
      <c r="N735" s="27">
        <v>80</v>
      </c>
      <c r="O735" s="50">
        <f>M735*32</f>
        <v>1042.56</v>
      </c>
      <c r="P735" s="35">
        <f t="shared" si="86"/>
        <v>125.11</v>
      </c>
      <c r="Q735" s="40">
        <f t="shared" si="91"/>
        <v>2085.12</v>
      </c>
      <c r="R735" s="35"/>
      <c r="S735" s="74"/>
    </row>
    <row r="736" spans="1:19" x14ac:dyDescent="0.3">
      <c r="A736" s="37">
        <v>43491</v>
      </c>
      <c r="B736" s="36" t="s">
        <v>56</v>
      </c>
      <c r="C736" s="34"/>
      <c r="D736" s="31">
        <v>36.5</v>
      </c>
      <c r="E736" s="35"/>
      <c r="F736" s="35"/>
      <c r="G736" s="34"/>
      <c r="H736" s="34"/>
      <c r="I736" s="34"/>
      <c r="J736" s="34"/>
      <c r="K736" s="34"/>
      <c r="L736" s="33"/>
      <c r="M736" s="38">
        <v>21.57</v>
      </c>
      <c r="N736" s="27">
        <v>36.5</v>
      </c>
      <c r="O736" s="50">
        <f>N736*M736</f>
        <v>787.30500000000006</v>
      </c>
      <c r="P736" s="35">
        <f t="shared" si="86"/>
        <v>228.32</v>
      </c>
      <c r="Q736" s="40">
        <f t="shared" si="91"/>
        <v>1574.6100000000001</v>
      </c>
      <c r="R736" s="35">
        <v>556.29999999999995</v>
      </c>
    </row>
    <row r="737" spans="1:18" x14ac:dyDescent="0.3">
      <c r="A737" s="32">
        <v>43511</v>
      </c>
      <c r="B737" s="33" t="s">
        <v>56</v>
      </c>
      <c r="C737" s="34">
        <v>1717</v>
      </c>
      <c r="D737" s="33">
        <v>80</v>
      </c>
      <c r="E737" s="35">
        <v>193.48</v>
      </c>
      <c r="F737" s="35">
        <v>1717</v>
      </c>
      <c r="G737" s="34">
        <v>193.48</v>
      </c>
      <c r="H737" s="34">
        <v>0</v>
      </c>
      <c r="I737" s="34">
        <v>1910.48</v>
      </c>
      <c r="J737" s="34">
        <v>352.73</v>
      </c>
      <c r="K737" s="34">
        <v>2263.21</v>
      </c>
      <c r="L737" s="33" t="s">
        <v>14</v>
      </c>
      <c r="M737" s="34">
        <f t="shared" si="88"/>
        <v>18.915643564356436</v>
      </c>
      <c r="N737" s="27">
        <v>101</v>
      </c>
      <c r="O737" s="34">
        <f t="shared" ref="O737:O821" si="92">((N737-80)*M737)*0.5</f>
        <v>198.61425742574258</v>
      </c>
      <c r="P737" s="35">
        <f t="shared" si="86"/>
        <v>55.61</v>
      </c>
      <c r="Q737" s="40">
        <f t="shared" si="91"/>
        <v>397.22851485148516</v>
      </c>
      <c r="R737" s="35"/>
    </row>
    <row r="738" spans="1:18" x14ac:dyDescent="0.3">
      <c r="A738" s="32">
        <v>43523</v>
      </c>
      <c r="B738" s="33" t="s">
        <v>56</v>
      </c>
      <c r="C738" s="34">
        <v>880</v>
      </c>
      <c r="D738" s="36">
        <v>41</v>
      </c>
      <c r="E738" s="35">
        <v>880</v>
      </c>
      <c r="F738" s="35"/>
      <c r="G738" s="34">
        <v>97.27</v>
      </c>
      <c r="H738" s="34">
        <v>0</v>
      </c>
      <c r="I738" s="34">
        <v>977.27</v>
      </c>
      <c r="J738" s="34">
        <v>98.32</v>
      </c>
      <c r="K738" s="34">
        <v>1075.5899999999999</v>
      </c>
      <c r="L738" s="33" t="s">
        <v>14</v>
      </c>
      <c r="M738" s="38">
        <v>16</v>
      </c>
      <c r="N738" s="27">
        <v>80</v>
      </c>
      <c r="O738" s="38">
        <f>(M738*0.5)*1</f>
        <v>8</v>
      </c>
      <c r="P738" s="35">
        <f t="shared" si="86"/>
        <v>2.2400000000000002</v>
      </c>
      <c r="Q738" s="40">
        <f t="shared" si="91"/>
        <v>16</v>
      </c>
      <c r="R738" s="35"/>
    </row>
    <row r="739" spans="1:18" x14ac:dyDescent="0.3">
      <c r="A739" s="32">
        <v>43539</v>
      </c>
      <c r="B739" s="33" t="s">
        <v>56</v>
      </c>
      <c r="C739" s="34">
        <v>1514</v>
      </c>
      <c r="D739" s="33">
        <v>80</v>
      </c>
      <c r="E739" s="35">
        <v>312.88</v>
      </c>
      <c r="F739" s="35">
        <v>1589</v>
      </c>
      <c r="G739" s="34">
        <v>312.88</v>
      </c>
      <c r="H739" s="34">
        <v>75</v>
      </c>
      <c r="I739" s="34">
        <v>1901.88</v>
      </c>
      <c r="J739" s="34">
        <v>351.87</v>
      </c>
      <c r="K739" s="34">
        <v>2253.75</v>
      </c>
      <c r="L739" s="33" t="s">
        <v>14</v>
      </c>
      <c r="M739" s="34">
        <f t="shared" si="88"/>
        <v>20.340962566844922</v>
      </c>
      <c r="N739" s="27">
        <v>93.5</v>
      </c>
      <c r="O739" s="34">
        <f t="shared" si="92"/>
        <v>137.30149732620322</v>
      </c>
      <c r="P739" s="35">
        <f t="shared" si="86"/>
        <v>37.07</v>
      </c>
      <c r="Q739" s="40">
        <f t="shared" si="91"/>
        <v>274.60299465240644</v>
      </c>
      <c r="R739" s="35"/>
    </row>
    <row r="740" spans="1:18" x14ac:dyDescent="0.3">
      <c r="A740" s="32">
        <v>43553</v>
      </c>
      <c r="B740" s="33" t="s">
        <v>56</v>
      </c>
      <c r="C740" s="34">
        <v>631</v>
      </c>
      <c r="D740" s="36">
        <v>46</v>
      </c>
      <c r="E740" s="35">
        <v>190.68</v>
      </c>
      <c r="F740" s="35">
        <v>1071</v>
      </c>
      <c r="G740" s="34">
        <v>190.68</v>
      </c>
      <c r="H740" s="34">
        <v>440</v>
      </c>
      <c r="I740" s="34">
        <v>1261.68</v>
      </c>
      <c r="J740" s="34">
        <v>287.45999999999998</v>
      </c>
      <c r="K740" s="34">
        <v>1549.14</v>
      </c>
      <c r="L740" s="33" t="s">
        <v>14</v>
      </c>
      <c r="M740" s="34">
        <f t="shared" si="88"/>
        <v>20.026666666666667</v>
      </c>
      <c r="N740" s="27">
        <v>63</v>
      </c>
      <c r="O740" s="38">
        <f>(M740*0.5)*6</f>
        <v>60.08</v>
      </c>
      <c r="P740" s="35">
        <f t="shared" si="86"/>
        <v>16.22</v>
      </c>
      <c r="Q740" s="40">
        <f t="shared" si="91"/>
        <v>120.16</v>
      </c>
      <c r="R740" s="35"/>
    </row>
    <row r="741" spans="1:18" x14ac:dyDescent="0.3">
      <c r="A741" s="32">
        <v>43819</v>
      </c>
      <c r="B741" s="33" t="s">
        <v>56</v>
      </c>
      <c r="C741" s="34">
        <v>1200</v>
      </c>
      <c r="D741" s="30">
        <v>80</v>
      </c>
      <c r="E741" s="35">
        <v>387.67</v>
      </c>
      <c r="F741" s="35">
        <v>1890</v>
      </c>
      <c r="G741" s="34">
        <v>387.67</v>
      </c>
      <c r="H741" s="34">
        <v>690</v>
      </c>
      <c r="I741" s="34">
        <v>2277.67</v>
      </c>
      <c r="J741" s="34">
        <v>377.84</v>
      </c>
      <c r="K741" s="34">
        <v>2655.51</v>
      </c>
      <c r="L741" s="33" t="s">
        <v>14</v>
      </c>
      <c r="M741" s="34">
        <f t="shared" si="88"/>
        <v>22.891155778894472</v>
      </c>
      <c r="N741" s="27">
        <v>99.5</v>
      </c>
      <c r="O741" s="34">
        <f t="shared" si="92"/>
        <v>223.1887688442211</v>
      </c>
      <c r="P741" s="35">
        <f t="shared" si="86"/>
        <v>40.17</v>
      </c>
      <c r="Q741" s="40">
        <f t="shared" si="91"/>
        <v>446.3775376884422</v>
      </c>
      <c r="R741" s="35"/>
    </row>
    <row r="742" spans="1:18" x14ac:dyDescent="0.3">
      <c r="A742" s="32">
        <v>43833</v>
      </c>
      <c r="B742" s="33" t="s">
        <v>56</v>
      </c>
      <c r="C742" s="34">
        <v>1672</v>
      </c>
      <c r="D742" s="36">
        <v>49.5</v>
      </c>
      <c r="E742" s="35">
        <v>331.42</v>
      </c>
      <c r="F742" s="35">
        <v>1672</v>
      </c>
      <c r="G742" s="34">
        <v>331.42</v>
      </c>
      <c r="H742" s="34">
        <v>0</v>
      </c>
      <c r="I742" s="34">
        <v>2003.42</v>
      </c>
      <c r="J742" s="34">
        <v>358.68</v>
      </c>
      <c r="K742" s="34">
        <v>2362.1</v>
      </c>
      <c r="L742" s="33" t="s">
        <v>14</v>
      </c>
      <c r="M742" s="34">
        <f t="shared" si="88"/>
        <v>22.766136363636363</v>
      </c>
      <c r="N742" s="27">
        <v>88</v>
      </c>
      <c r="O742" s="38">
        <f>(M742*0.5)*9.5</f>
        <v>108.13914772727273</v>
      </c>
      <c r="P742" s="35">
        <f t="shared" ref="P742:P803" si="93">ROUND(((ROUNDDOWN(($W$1-A742)/30,0))/100)*O742,2)</f>
        <v>19.47</v>
      </c>
      <c r="Q742" s="40">
        <f t="shared" si="91"/>
        <v>216.27829545454546</v>
      </c>
      <c r="R742" s="35"/>
    </row>
    <row r="743" spans="1:18" x14ac:dyDescent="0.3">
      <c r="A743" s="32">
        <v>43847</v>
      </c>
      <c r="B743" s="33" t="s">
        <v>56</v>
      </c>
      <c r="C743" s="34">
        <v>1401</v>
      </c>
      <c r="D743" s="36">
        <v>41.5</v>
      </c>
      <c r="E743" s="40"/>
      <c r="F743" s="35">
        <v>1501</v>
      </c>
      <c r="G743" s="34">
        <v>232.36</v>
      </c>
      <c r="H743" s="34">
        <v>100</v>
      </c>
      <c r="I743" s="34">
        <v>1733.36</v>
      </c>
      <c r="J743" s="34">
        <v>308.98</v>
      </c>
      <c r="K743" s="34">
        <v>2042.34</v>
      </c>
      <c r="L743" s="33" t="s">
        <v>14</v>
      </c>
      <c r="M743" s="34">
        <f t="shared" si="88"/>
        <v>19</v>
      </c>
      <c r="N743" s="27">
        <v>79</v>
      </c>
      <c r="O743" s="38">
        <f>(M743*0.5)*1.5</f>
        <v>14.25</v>
      </c>
      <c r="P743" s="35">
        <f t="shared" si="93"/>
        <v>2.42</v>
      </c>
      <c r="Q743" s="40">
        <f t="shared" si="91"/>
        <v>28.5</v>
      </c>
      <c r="R743" s="35"/>
    </row>
    <row r="744" spans="1:18" x14ac:dyDescent="0.3">
      <c r="A744" s="32">
        <v>43861</v>
      </c>
      <c r="B744" s="33" t="s">
        <v>56</v>
      </c>
      <c r="C744" s="34">
        <v>1850</v>
      </c>
      <c r="D744" s="33">
        <v>80</v>
      </c>
      <c r="E744" s="40"/>
      <c r="F744" s="35">
        <v>1900</v>
      </c>
      <c r="G744" s="34">
        <v>310.83999999999997</v>
      </c>
      <c r="H744" s="34">
        <v>50</v>
      </c>
      <c r="I744" s="34">
        <v>2210.84</v>
      </c>
      <c r="J744" s="34">
        <v>348.45</v>
      </c>
      <c r="K744" s="34">
        <v>2559.29</v>
      </c>
      <c r="L744" s="33" t="s">
        <v>14</v>
      </c>
      <c r="M744" s="34">
        <f t="shared" si="88"/>
        <v>19</v>
      </c>
      <c r="N744" s="27">
        <v>100</v>
      </c>
      <c r="O744" s="34">
        <f t="shared" si="92"/>
        <v>190</v>
      </c>
      <c r="P744" s="35">
        <f t="shared" si="93"/>
        <v>32.299999999999997</v>
      </c>
      <c r="Q744" s="40">
        <f t="shared" si="91"/>
        <v>380</v>
      </c>
      <c r="R744" s="35"/>
    </row>
    <row r="745" spans="1:18" x14ac:dyDescent="0.3">
      <c r="A745" s="32">
        <v>43875</v>
      </c>
      <c r="B745" s="33" t="s">
        <v>56</v>
      </c>
      <c r="C745" s="34">
        <v>1726</v>
      </c>
      <c r="D745" s="33">
        <v>80</v>
      </c>
      <c r="E745" s="35"/>
      <c r="F745" s="35">
        <v>1776</v>
      </c>
      <c r="G745" s="34">
        <v>277.35000000000002</v>
      </c>
      <c r="H745" s="34">
        <v>50</v>
      </c>
      <c r="I745" s="34">
        <v>2053.35</v>
      </c>
      <c r="J745" s="34">
        <v>287</v>
      </c>
      <c r="K745" s="34">
        <v>2340.35</v>
      </c>
      <c r="L745" s="33" t="s">
        <v>14</v>
      </c>
      <c r="M745" s="34">
        <f t="shared" si="88"/>
        <v>18.994652406417114</v>
      </c>
      <c r="N745" s="27">
        <v>93.5</v>
      </c>
      <c r="O745" s="34">
        <f t="shared" si="92"/>
        <v>128.21390374331551</v>
      </c>
      <c r="P745" s="35">
        <f t="shared" si="93"/>
        <v>20.51</v>
      </c>
      <c r="Q745" s="40">
        <f t="shared" si="91"/>
        <v>256.42780748663102</v>
      </c>
      <c r="R745" s="35"/>
    </row>
    <row r="746" spans="1:18" x14ac:dyDescent="0.3">
      <c r="A746" s="32">
        <v>43889</v>
      </c>
      <c r="B746" s="33" t="s">
        <v>56</v>
      </c>
      <c r="C746" s="34">
        <v>1970</v>
      </c>
      <c r="D746" s="33">
        <v>80</v>
      </c>
      <c r="E746" s="35"/>
      <c r="F746" s="35">
        <v>2020</v>
      </c>
      <c r="G746" s="34">
        <v>325.89999999999998</v>
      </c>
      <c r="H746" s="34">
        <v>50</v>
      </c>
      <c r="I746" s="34">
        <v>2345.9</v>
      </c>
      <c r="J746" s="34">
        <v>300.08</v>
      </c>
      <c r="K746" s="34">
        <v>2645.98</v>
      </c>
      <c r="L746" s="33" t="s">
        <v>14</v>
      </c>
      <c r="M746" s="34">
        <f t="shared" si="88"/>
        <v>20</v>
      </c>
      <c r="N746" s="27">
        <v>101</v>
      </c>
      <c r="O746" s="34">
        <f t="shared" si="92"/>
        <v>210</v>
      </c>
      <c r="P746" s="35">
        <f t="shared" si="93"/>
        <v>33.6</v>
      </c>
      <c r="Q746" s="40">
        <f t="shared" si="91"/>
        <v>420</v>
      </c>
      <c r="R746" s="35"/>
    </row>
    <row r="747" spans="1:18" x14ac:dyDescent="0.3">
      <c r="A747" s="32">
        <v>43903</v>
      </c>
      <c r="B747" s="33" t="s">
        <v>56</v>
      </c>
      <c r="C747" s="34">
        <v>1660</v>
      </c>
      <c r="D747" s="36">
        <v>48</v>
      </c>
      <c r="E747" s="35"/>
      <c r="F747" s="35">
        <v>1710</v>
      </c>
      <c r="G747" s="34">
        <v>264.2</v>
      </c>
      <c r="H747" s="34">
        <v>50</v>
      </c>
      <c r="I747" s="34">
        <v>1974.2</v>
      </c>
      <c r="J747" s="34">
        <v>271.27</v>
      </c>
      <c r="K747" s="34">
        <v>2245.4699999999998</v>
      </c>
      <c r="L747" s="33" t="s">
        <v>14</v>
      </c>
      <c r="M747" s="34">
        <f t="shared" si="88"/>
        <v>20</v>
      </c>
      <c r="N747" s="27">
        <v>85.5</v>
      </c>
      <c r="O747" s="38">
        <f>(M747*0.5)*8</f>
        <v>80</v>
      </c>
      <c r="P747" s="35">
        <f t="shared" si="93"/>
        <v>12</v>
      </c>
      <c r="Q747" s="40">
        <f t="shared" si="91"/>
        <v>160</v>
      </c>
      <c r="R747" s="35"/>
    </row>
    <row r="748" spans="1:18" x14ac:dyDescent="0.3">
      <c r="A748" s="32">
        <v>43917</v>
      </c>
      <c r="B748" s="33" t="s">
        <v>56</v>
      </c>
      <c r="C748" s="34">
        <v>1639.32</v>
      </c>
      <c r="D748" s="36">
        <v>45</v>
      </c>
      <c r="E748" s="35"/>
      <c r="F748" s="49">
        <v>1935</v>
      </c>
      <c r="G748" s="34">
        <v>310.68</v>
      </c>
      <c r="H748" s="34">
        <v>0</v>
      </c>
      <c r="I748" s="34">
        <v>1950</v>
      </c>
      <c r="J748" s="34">
        <v>297.81</v>
      </c>
      <c r="K748" s="34">
        <v>2247.81</v>
      </c>
      <c r="L748" s="33" t="s">
        <v>14</v>
      </c>
      <c r="M748" s="34">
        <f t="shared" si="88"/>
        <v>23.035714285714285</v>
      </c>
      <c r="N748" s="27">
        <v>84</v>
      </c>
      <c r="O748" s="38">
        <f>(M748*0.5)*1</f>
        <v>11.517857142857142</v>
      </c>
      <c r="P748" s="35">
        <f t="shared" si="93"/>
        <v>1.73</v>
      </c>
      <c r="Q748" s="40">
        <f t="shared" si="91"/>
        <v>23.035714285714285</v>
      </c>
      <c r="R748" s="35"/>
    </row>
    <row r="749" spans="1:18" x14ac:dyDescent="0.3">
      <c r="A749" s="32">
        <v>43931</v>
      </c>
      <c r="B749" s="33" t="s">
        <v>56</v>
      </c>
      <c r="C749" s="34">
        <v>800.88</v>
      </c>
      <c r="D749" s="36">
        <v>24</v>
      </c>
      <c r="E749" s="35"/>
      <c r="F749" s="35">
        <v>900</v>
      </c>
      <c r="G749" s="34">
        <v>99.12</v>
      </c>
      <c r="H749" s="34">
        <v>0</v>
      </c>
      <c r="I749" s="34">
        <v>900</v>
      </c>
      <c r="J749" s="34">
        <v>139.82</v>
      </c>
      <c r="K749" s="34">
        <v>1039.82</v>
      </c>
      <c r="L749" s="33" t="s">
        <v>14</v>
      </c>
      <c r="M749" s="34">
        <f t="shared" si="88"/>
        <v>37.5</v>
      </c>
      <c r="N749" s="27">
        <v>24</v>
      </c>
      <c r="O749" s="34">
        <v>0</v>
      </c>
      <c r="P749" s="35">
        <f t="shared" si="93"/>
        <v>0</v>
      </c>
      <c r="Q749" s="40">
        <f t="shared" si="91"/>
        <v>0</v>
      </c>
      <c r="R749" s="35"/>
    </row>
    <row r="750" spans="1:18" hidden="1" x14ac:dyDescent="0.3">
      <c r="A750" s="37" t="s">
        <v>77</v>
      </c>
      <c r="B750" s="33" t="s">
        <v>56</v>
      </c>
      <c r="C750" s="34">
        <v>500.02</v>
      </c>
      <c r="D750" s="33">
        <v>24.63</v>
      </c>
      <c r="E750" s="33"/>
      <c r="F750" s="33">
        <v>554.17999999999995</v>
      </c>
      <c r="G750" s="34">
        <v>54.16</v>
      </c>
      <c r="H750" s="34">
        <v>0</v>
      </c>
      <c r="I750" s="34">
        <v>554.17999999999995</v>
      </c>
      <c r="J750" s="34">
        <v>88.09</v>
      </c>
      <c r="K750" s="34">
        <v>642.27</v>
      </c>
      <c r="L750" s="33" t="s">
        <v>14</v>
      </c>
      <c r="M750" s="34" t="e">
        <f t="shared" si="88"/>
        <v>#DIV/0!</v>
      </c>
      <c r="N750" s="27"/>
      <c r="O750" s="34" t="e">
        <f t="shared" si="92"/>
        <v>#DIV/0!</v>
      </c>
      <c r="P750" s="35" t="e">
        <f t="shared" si="93"/>
        <v>#VALUE!</v>
      </c>
      <c r="Q750" s="34" t="e">
        <f t="shared" ref="Q750:Q813" si="94">O750*1.5</f>
        <v>#DIV/0!</v>
      </c>
      <c r="R750" s="35"/>
    </row>
    <row r="751" spans="1:18" hidden="1" x14ac:dyDescent="0.3">
      <c r="A751" s="37" t="s">
        <v>77</v>
      </c>
      <c r="B751" s="33" t="s">
        <v>56</v>
      </c>
      <c r="C751" s="34">
        <v>700.04</v>
      </c>
      <c r="D751" s="33">
        <v>32.020000000000003</v>
      </c>
      <c r="E751" s="33"/>
      <c r="F751" s="36">
        <v>720.45</v>
      </c>
      <c r="G751" s="34">
        <v>70.41</v>
      </c>
      <c r="H751" s="34">
        <v>0</v>
      </c>
      <c r="I751" s="34">
        <v>770.45</v>
      </c>
      <c r="J751" s="34">
        <v>114.52</v>
      </c>
      <c r="K751" s="34">
        <v>884.97</v>
      </c>
      <c r="L751" s="33" t="s">
        <v>14</v>
      </c>
      <c r="M751" s="34" t="e">
        <f t="shared" si="88"/>
        <v>#DIV/0!</v>
      </c>
      <c r="N751" s="27"/>
      <c r="O751" s="34" t="e">
        <f t="shared" si="92"/>
        <v>#DIV/0!</v>
      </c>
      <c r="P751" s="35" t="e">
        <f t="shared" si="93"/>
        <v>#VALUE!</v>
      </c>
      <c r="Q751" s="34" t="e">
        <f t="shared" si="94"/>
        <v>#DIV/0!</v>
      </c>
      <c r="R751" s="35"/>
    </row>
    <row r="752" spans="1:18" hidden="1" x14ac:dyDescent="0.3">
      <c r="A752" s="37" t="s">
        <v>77</v>
      </c>
      <c r="B752" s="33" t="s">
        <v>56</v>
      </c>
      <c r="C752" s="34">
        <v>300</v>
      </c>
      <c r="D752" s="33">
        <v>14.78</v>
      </c>
      <c r="E752" s="33"/>
      <c r="F752" s="33">
        <v>332.5</v>
      </c>
      <c r="G752" s="34">
        <v>32.5</v>
      </c>
      <c r="H752" s="34">
        <v>0</v>
      </c>
      <c r="I752" s="34">
        <v>332.5</v>
      </c>
      <c r="J752" s="34">
        <v>52.87</v>
      </c>
      <c r="K752" s="34">
        <v>385.37</v>
      </c>
      <c r="L752" s="33" t="s">
        <v>14</v>
      </c>
      <c r="M752" s="34" t="e">
        <f t="shared" si="88"/>
        <v>#DIV/0!</v>
      </c>
      <c r="N752" s="27"/>
      <c r="O752" s="34" t="e">
        <f t="shared" si="92"/>
        <v>#DIV/0!</v>
      </c>
      <c r="P752" s="35" t="e">
        <f t="shared" si="93"/>
        <v>#VALUE!</v>
      </c>
      <c r="Q752" s="34" t="e">
        <f t="shared" si="94"/>
        <v>#DIV/0!</v>
      </c>
      <c r="R752" s="35"/>
    </row>
    <row r="753" spans="1:18" x14ac:dyDescent="0.3">
      <c r="A753" s="32">
        <v>43987</v>
      </c>
      <c r="B753" s="33" t="s">
        <v>56</v>
      </c>
      <c r="C753" s="34">
        <v>1717.48</v>
      </c>
      <c r="D753" s="33">
        <v>87.5</v>
      </c>
      <c r="E753" s="35"/>
      <c r="F753" s="49">
        <v>2053.13</v>
      </c>
      <c r="G753" s="34">
        <v>335.65</v>
      </c>
      <c r="H753" s="34">
        <v>0</v>
      </c>
      <c r="I753" s="34">
        <v>2053.13</v>
      </c>
      <c r="J753" s="34">
        <v>319.51</v>
      </c>
      <c r="K753" s="34">
        <v>2372.64</v>
      </c>
      <c r="L753" s="33" t="s">
        <v>14</v>
      </c>
      <c r="M753" s="34">
        <f t="shared" si="88"/>
        <v>23.46434285714286</v>
      </c>
      <c r="N753" s="27">
        <v>87.5</v>
      </c>
      <c r="O753" s="38">
        <v>0</v>
      </c>
      <c r="P753" s="35">
        <f t="shared" si="93"/>
        <v>0</v>
      </c>
      <c r="Q753" s="40">
        <f t="shared" ref="Q753:Q761" si="95">O753*2</f>
        <v>0</v>
      </c>
      <c r="R753" s="35"/>
    </row>
    <row r="754" spans="1:18" x14ac:dyDescent="0.3">
      <c r="A754" s="29">
        <v>43995</v>
      </c>
      <c r="B754" s="33" t="s">
        <v>56</v>
      </c>
      <c r="C754" s="34">
        <v>1756.97</v>
      </c>
      <c r="D754" s="30">
        <v>48</v>
      </c>
      <c r="E754" s="35"/>
      <c r="F754" s="49">
        <v>2356.88</v>
      </c>
      <c r="G754" s="34"/>
      <c r="H754" s="34"/>
      <c r="I754" s="34"/>
      <c r="J754" s="34"/>
      <c r="K754" s="34"/>
      <c r="L754" s="33"/>
      <c r="M754" s="38">
        <v>21.57</v>
      </c>
      <c r="N754" s="27">
        <v>48</v>
      </c>
      <c r="O754" s="42">
        <v>0</v>
      </c>
      <c r="P754" s="35">
        <f t="shared" si="93"/>
        <v>0</v>
      </c>
      <c r="Q754" s="40">
        <f t="shared" si="95"/>
        <v>0</v>
      </c>
      <c r="R754" s="35"/>
    </row>
    <row r="755" spans="1:18" x14ac:dyDescent="0.3">
      <c r="A755" s="32">
        <v>44009</v>
      </c>
      <c r="B755" s="33" t="s">
        <v>56</v>
      </c>
      <c r="C755" s="34">
        <v>1531.19</v>
      </c>
      <c r="D755" s="30">
        <v>80.5</v>
      </c>
      <c r="E755" s="35"/>
      <c r="F755" s="40">
        <v>1816.88</v>
      </c>
      <c r="G755" s="34"/>
      <c r="H755" s="34"/>
      <c r="I755" s="34"/>
      <c r="J755" s="34"/>
      <c r="K755" s="34"/>
      <c r="L755" s="33"/>
      <c r="M755" s="38">
        <v>21.57</v>
      </c>
      <c r="N755" s="27">
        <v>80.5</v>
      </c>
      <c r="O755" s="42">
        <v>0</v>
      </c>
      <c r="P755" s="35">
        <f t="shared" si="93"/>
        <v>0</v>
      </c>
      <c r="Q755" s="40">
        <f t="shared" si="95"/>
        <v>0</v>
      </c>
      <c r="R755" s="35"/>
    </row>
    <row r="756" spans="1:18" x14ac:dyDescent="0.3">
      <c r="A756" s="32">
        <v>44023</v>
      </c>
      <c r="B756" s="33" t="s">
        <v>56</v>
      </c>
      <c r="C756" s="34">
        <v>1479.58</v>
      </c>
      <c r="D756" s="30">
        <v>80</v>
      </c>
      <c r="E756" s="35">
        <v>90</v>
      </c>
      <c r="F756" s="40">
        <v>1800</v>
      </c>
      <c r="G756" s="34"/>
      <c r="H756" s="34"/>
      <c r="I756" s="34"/>
      <c r="J756" s="34"/>
      <c r="K756" s="34"/>
      <c r="L756" s="33"/>
      <c r="M756" s="38">
        <v>21.57</v>
      </c>
      <c r="N756" s="27">
        <v>80</v>
      </c>
      <c r="O756" s="42">
        <v>0</v>
      </c>
      <c r="P756" s="35">
        <f t="shared" si="93"/>
        <v>0</v>
      </c>
      <c r="Q756" s="40">
        <f t="shared" si="95"/>
        <v>0</v>
      </c>
      <c r="R756" s="35"/>
    </row>
    <row r="757" spans="1:18" x14ac:dyDescent="0.3">
      <c r="A757" s="32">
        <v>43875</v>
      </c>
      <c r="B757" s="33" t="s">
        <v>57</v>
      </c>
      <c r="C757" s="34">
        <v>1822</v>
      </c>
      <c r="D757" s="36">
        <v>53</v>
      </c>
      <c r="E757" s="35"/>
      <c r="F757" s="35">
        <v>1872</v>
      </c>
      <c r="G757" s="34">
        <v>181.61</v>
      </c>
      <c r="H757" s="34">
        <v>50</v>
      </c>
      <c r="I757" s="34">
        <v>2053.61</v>
      </c>
      <c r="J757" s="34">
        <v>297.55</v>
      </c>
      <c r="K757" s="34">
        <v>2351.16</v>
      </c>
      <c r="L757" s="33" t="s">
        <v>14</v>
      </c>
      <c r="M757" s="34">
        <f t="shared" si="88"/>
        <v>24</v>
      </c>
      <c r="N757" s="27">
        <v>78</v>
      </c>
      <c r="O757" s="38">
        <f>(M757*0.5)*13</f>
        <v>156</v>
      </c>
      <c r="P757" s="35">
        <f t="shared" si="93"/>
        <v>24.96</v>
      </c>
      <c r="Q757" s="40">
        <f t="shared" si="95"/>
        <v>312</v>
      </c>
      <c r="R757" s="35">
        <v>556.29999999999995</v>
      </c>
    </row>
    <row r="758" spans="1:18" x14ac:dyDescent="0.3">
      <c r="A758" s="32">
        <v>43889</v>
      </c>
      <c r="B758" s="33" t="s">
        <v>57</v>
      </c>
      <c r="C758" s="34">
        <v>2386</v>
      </c>
      <c r="D758" s="33">
        <v>80</v>
      </c>
      <c r="E758" s="35"/>
      <c r="F758" s="35">
        <v>2436</v>
      </c>
      <c r="G758" s="34">
        <v>226.2</v>
      </c>
      <c r="H758" s="34">
        <v>50</v>
      </c>
      <c r="I758" s="34">
        <v>2662.2</v>
      </c>
      <c r="J758" s="34">
        <v>353.36</v>
      </c>
      <c r="K758" s="34">
        <v>3015.56</v>
      </c>
      <c r="L758" s="33" t="s">
        <v>14</v>
      </c>
      <c r="M758" s="34">
        <f t="shared" si="88"/>
        <v>24</v>
      </c>
      <c r="N758" s="27">
        <v>101.5</v>
      </c>
      <c r="O758" s="34">
        <f t="shared" si="92"/>
        <v>258</v>
      </c>
      <c r="P758" s="35">
        <f t="shared" si="93"/>
        <v>41.28</v>
      </c>
      <c r="Q758" s="40">
        <f t="shared" si="95"/>
        <v>516</v>
      </c>
      <c r="R758" s="35"/>
    </row>
    <row r="759" spans="1:18" x14ac:dyDescent="0.3">
      <c r="A759" s="32">
        <v>43903</v>
      </c>
      <c r="B759" s="33" t="s">
        <v>57</v>
      </c>
      <c r="C759" s="34">
        <v>2266</v>
      </c>
      <c r="D759" s="30">
        <v>80</v>
      </c>
      <c r="E759" s="35"/>
      <c r="F759" s="35">
        <v>2316</v>
      </c>
      <c r="G759" s="34">
        <v>216.7</v>
      </c>
      <c r="H759" s="34">
        <v>50</v>
      </c>
      <c r="I759" s="34">
        <v>2532.6999999999998</v>
      </c>
      <c r="J759" s="34">
        <v>341.46</v>
      </c>
      <c r="K759" s="34">
        <v>2874.16</v>
      </c>
      <c r="L759" s="33" t="s">
        <v>14</v>
      </c>
      <c r="M759" s="34">
        <f t="shared" si="88"/>
        <v>24</v>
      </c>
      <c r="N759" s="27">
        <v>96.5</v>
      </c>
      <c r="O759" s="34">
        <f t="shared" si="92"/>
        <v>198</v>
      </c>
      <c r="P759" s="35">
        <f t="shared" si="93"/>
        <v>29.7</v>
      </c>
      <c r="Q759" s="40">
        <f t="shared" si="95"/>
        <v>396</v>
      </c>
      <c r="R759" s="35"/>
    </row>
    <row r="760" spans="1:18" x14ac:dyDescent="0.3">
      <c r="A760" s="32">
        <v>43917</v>
      </c>
      <c r="B760" s="33" t="s">
        <v>57</v>
      </c>
      <c r="C760" s="34">
        <v>2107.7399999999998</v>
      </c>
      <c r="D760" s="36">
        <v>45</v>
      </c>
      <c r="E760" s="35"/>
      <c r="F760" s="49">
        <v>2365</v>
      </c>
      <c r="G760" s="34">
        <v>222.26</v>
      </c>
      <c r="H760" s="34">
        <v>35</v>
      </c>
      <c r="I760" s="34">
        <v>2365</v>
      </c>
      <c r="J760" s="34">
        <v>340</v>
      </c>
      <c r="K760" s="34">
        <v>2705</v>
      </c>
      <c r="L760" s="33" t="s">
        <v>14</v>
      </c>
      <c r="M760" s="34">
        <f t="shared" si="88"/>
        <v>28.154761904761905</v>
      </c>
      <c r="N760" s="27">
        <v>84</v>
      </c>
      <c r="O760" s="38">
        <f>(M760*0.5)*1</f>
        <v>14.077380952380953</v>
      </c>
      <c r="P760" s="35">
        <f t="shared" si="93"/>
        <v>2.11</v>
      </c>
      <c r="Q760" s="40">
        <f t="shared" si="95"/>
        <v>28.154761904761905</v>
      </c>
      <c r="R760" s="35"/>
    </row>
    <row r="761" spans="1:18" x14ac:dyDescent="0.3">
      <c r="A761" s="32">
        <v>43931</v>
      </c>
      <c r="B761" s="33" t="s">
        <v>57</v>
      </c>
      <c r="C761" s="34">
        <v>996.23</v>
      </c>
      <c r="D761" s="36">
        <v>16</v>
      </c>
      <c r="E761" s="35"/>
      <c r="F761" s="35">
        <v>1100</v>
      </c>
      <c r="G761" s="34">
        <v>103.77</v>
      </c>
      <c r="H761" s="34">
        <v>0</v>
      </c>
      <c r="I761" s="34">
        <v>1100</v>
      </c>
      <c r="J761" s="34">
        <v>158.4</v>
      </c>
      <c r="K761" s="34">
        <v>1258.4000000000001</v>
      </c>
      <c r="L761" s="33" t="s">
        <v>14</v>
      </c>
      <c r="M761" s="34">
        <f t="shared" si="88"/>
        <v>68.75</v>
      </c>
      <c r="N761" s="27">
        <v>16</v>
      </c>
      <c r="O761" s="34">
        <v>0</v>
      </c>
      <c r="P761" s="35">
        <f t="shared" si="93"/>
        <v>0</v>
      </c>
      <c r="Q761" s="40">
        <f t="shared" si="95"/>
        <v>0</v>
      </c>
      <c r="R761" s="35"/>
    </row>
    <row r="762" spans="1:18" hidden="1" x14ac:dyDescent="0.3">
      <c r="A762" s="37" t="s">
        <v>77</v>
      </c>
      <c r="B762" s="33" t="s">
        <v>57</v>
      </c>
      <c r="C762" s="34">
        <v>500.11</v>
      </c>
      <c r="D762" s="33">
        <v>20.079999999999998</v>
      </c>
      <c r="E762" s="33"/>
      <c r="F762" s="33">
        <v>552</v>
      </c>
      <c r="G762" s="34">
        <v>52.09</v>
      </c>
      <c r="H762" s="34">
        <v>0</v>
      </c>
      <c r="I762" s="34">
        <v>552.20000000000005</v>
      </c>
      <c r="J762" s="34">
        <v>79.63</v>
      </c>
      <c r="K762" s="34">
        <v>631.83000000000004</v>
      </c>
      <c r="L762" s="33" t="s">
        <v>14</v>
      </c>
      <c r="M762" s="34" t="e">
        <f t="shared" si="88"/>
        <v>#DIV/0!</v>
      </c>
      <c r="N762" s="27"/>
      <c r="O762" s="34" t="e">
        <f t="shared" si="92"/>
        <v>#DIV/0!</v>
      </c>
      <c r="P762" s="35" t="e">
        <f t="shared" si="93"/>
        <v>#VALUE!</v>
      </c>
      <c r="Q762" s="34" t="e">
        <f t="shared" si="94"/>
        <v>#DIV/0!</v>
      </c>
      <c r="R762" s="35"/>
    </row>
    <row r="763" spans="1:18" hidden="1" x14ac:dyDescent="0.3">
      <c r="A763" s="37" t="s">
        <v>77</v>
      </c>
      <c r="B763" s="33" t="s">
        <v>57</v>
      </c>
      <c r="C763" s="34">
        <v>700.1</v>
      </c>
      <c r="D763" s="33">
        <v>28.11</v>
      </c>
      <c r="E763" s="33"/>
      <c r="F763" s="33">
        <v>773.03</v>
      </c>
      <c r="G763" s="34">
        <v>72.930000000000007</v>
      </c>
      <c r="H763" s="34">
        <v>0</v>
      </c>
      <c r="I763" s="34">
        <v>773.03</v>
      </c>
      <c r="J763" s="34">
        <v>111.48</v>
      </c>
      <c r="K763" s="34">
        <v>884.51</v>
      </c>
      <c r="L763" s="33" t="s">
        <v>14</v>
      </c>
      <c r="M763" s="34" t="e">
        <f t="shared" si="88"/>
        <v>#DIV/0!</v>
      </c>
      <c r="N763" s="27"/>
      <c r="O763" s="34" t="e">
        <f t="shared" si="92"/>
        <v>#DIV/0!</v>
      </c>
      <c r="P763" s="35" t="e">
        <f t="shared" si="93"/>
        <v>#VALUE!</v>
      </c>
      <c r="Q763" s="34" t="e">
        <f t="shared" si="94"/>
        <v>#DIV/0!</v>
      </c>
      <c r="R763" s="35"/>
    </row>
    <row r="764" spans="1:18" x14ac:dyDescent="0.3">
      <c r="A764" s="32">
        <v>43973</v>
      </c>
      <c r="B764" s="33" t="s">
        <v>57</v>
      </c>
      <c r="C764" s="34">
        <v>996.23</v>
      </c>
      <c r="D764" s="36">
        <v>40</v>
      </c>
      <c r="E764" s="35"/>
      <c r="F764" s="35">
        <v>1100</v>
      </c>
      <c r="G764" s="34">
        <v>103.77</v>
      </c>
      <c r="H764" s="34">
        <v>0</v>
      </c>
      <c r="I764" s="34">
        <v>1100</v>
      </c>
      <c r="J764" s="34">
        <v>158.62</v>
      </c>
      <c r="K764" s="34">
        <v>1258.6199999999999</v>
      </c>
      <c r="L764" s="33" t="s">
        <v>14</v>
      </c>
      <c r="M764" s="34">
        <f t="shared" si="88"/>
        <v>27.5</v>
      </c>
      <c r="N764" s="27">
        <v>40</v>
      </c>
      <c r="O764" s="34">
        <v>0</v>
      </c>
      <c r="P764" s="35">
        <f t="shared" si="93"/>
        <v>0</v>
      </c>
      <c r="Q764" s="40">
        <f t="shared" ref="Q764:Q797" si="96">O764*2</f>
        <v>0</v>
      </c>
      <c r="R764" s="35"/>
    </row>
    <row r="765" spans="1:18" x14ac:dyDescent="0.3">
      <c r="A765" s="32">
        <v>43987</v>
      </c>
      <c r="B765" s="33" t="s">
        <v>57</v>
      </c>
      <c r="C765" s="34">
        <v>1905.82</v>
      </c>
      <c r="D765" s="36">
        <v>72.5</v>
      </c>
      <c r="E765" s="35"/>
      <c r="F765" s="35">
        <v>2102</v>
      </c>
      <c r="G765" s="34">
        <v>196.68</v>
      </c>
      <c r="H765" s="34">
        <v>0</v>
      </c>
      <c r="I765" s="34">
        <v>2102.5</v>
      </c>
      <c r="J765" s="34">
        <v>295.95999999999998</v>
      </c>
      <c r="K765" s="34">
        <v>2398.46</v>
      </c>
      <c r="L765" s="33" t="s">
        <v>14</v>
      </c>
      <c r="M765" s="34">
        <f t="shared" si="88"/>
        <v>28.993103448275861</v>
      </c>
      <c r="N765" s="27">
        <v>72.5</v>
      </c>
      <c r="O765" s="34">
        <v>0</v>
      </c>
      <c r="P765" s="35">
        <f t="shared" si="93"/>
        <v>0</v>
      </c>
      <c r="Q765" s="40">
        <f t="shared" si="96"/>
        <v>0</v>
      </c>
      <c r="R765" s="35"/>
    </row>
    <row r="766" spans="1:18" x14ac:dyDescent="0.3">
      <c r="A766" s="32">
        <v>43995</v>
      </c>
      <c r="B766" s="33" t="s">
        <v>57</v>
      </c>
      <c r="C766" s="34">
        <v>2239.9299999999998</v>
      </c>
      <c r="D766" s="30">
        <v>80</v>
      </c>
      <c r="E766" s="35"/>
      <c r="F766" s="49">
        <v>2689.75</v>
      </c>
      <c r="G766" s="34"/>
      <c r="H766" s="34"/>
      <c r="I766" s="34"/>
      <c r="J766" s="34"/>
      <c r="K766" s="34"/>
      <c r="L766" s="33"/>
      <c r="M766" s="38">
        <v>32.200000000000003</v>
      </c>
      <c r="N766" s="27">
        <v>80</v>
      </c>
      <c r="O766" s="42">
        <v>0</v>
      </c>
      <c r="P766" s="35">
        <f t="shared" si="93"/>
        <v>0</v>
      </c>
      <c r="Q766" s="40">
        <f t="shared" si="96"/>
        <v>0</v>
      </c>
      <c r="R766" s="35"/>
    </row>
    <row r="767" spans="1:18" x14ac:dyDescent="0.3">
      <c r="A767" s="32">
        <v>44009</v>
      </c>
      <c r="B767" s="33" t="s">
        <v>57</v>
      </c>
      <c r="C767" s="34">
        <v>2895.8</v>
      </c>
      <c r="D767" s="30">
        <v>91.5</v>
      </c>
      <c r="E767" s="35"/>
      <c r="F767" s="35">
        <v>3190</v>
      </c>
      <c r="G767" s="34"/>
      <c r="H767" s="34"/>
      <c r="I767" s="34"/>
      <c r="J767" s="34"/>
      <c r="K767" s="34"/>
      <c r="L767" s="33"/>
      <c r="M767" s="38">
        <v>32.200000000000003</v>
      </c>
      <c r="N767" s="27">
        <v>91.5</v>
      </c>
      <c r="O767" s="42">
        <v>0</v>
      </c>
      <c r="P767" s="35">
        <f t="shared" si="93"/>
        <v>0</v>
      </c>
      <c r="Q767" s="40">
        <f t="shared" si="96"/>
        <v>0</v>
      </c>
      <c r="R767" s="35"/>
    </row>
    <row r="768" spans="1:18" x14ac:dyDescent="0.3">
      <c r="A768" s="32">
        <v>44023</v>
      </c>
      <c r="B768" s="33" t="s">
        <v>57</v>
      </c>
      <c r="C768" s="34">
        <v>3056.1</v>
      </c>
      <c r="D768" s="30">
        <v>101.5</v>
      </c>
      <c r="E768" s="35"/>
      <c r="F768" s="35">
        <v>3525</v>
      </c>
      <c r="G768" s="34"/>
      <c r="H768" s="34"/>
      <c r="I768" s="34"/>
      <c r="J768" s="34"/>
      <c r="K768" s="34"/>
      <c r="L768" s="33"/>
      <c r="M768" s="38">
        <v>32.200000000000003</v>
      </c>
      <c r="N768" s="27">
        <v>101.5</v>
      </c>
      <c r="O768" s="42">
        <v>0</v>
      </c>
      <c r="P768" s="35">
        <f t="shared" si="93"/>
        <v>0</v>
      </c>
      <c r="Q768" s="40">
        <f t="shared" si="96"/>
        <v>0</v>
      </c>
      <c r="R768" s="35"/>
    </row>
    <row r="769" spans="1:18" x14ac:dyDescent="0.3">
      <c r="A769" s="32">
        <v>43154</v>
      </c>
      <c r="B769" s="33" t="s">
        <v>58</v>
      </c>
      <c r="C769" s="34"/>
      <c r="D769" s="31">
        <v>36</v>
      </c>
      <c r="E769" s="35"/>
      <c r="F769" s="35"/>
      <c r="G769" s="34"/>
      <c r="H769" s="34"/>
      <c r="I769" s="34"/>
      <c r="J769" s="34"/>
      <c r="K769" s="34"/>
      <c r="L769" s="33"/>
      <c r="M769" s="38">
        <v>41.63</v>
      </c>
      <c r="N769" s="30">
        <v>36</v>
      </c>
      <c r="O769" s="50">
        <f>(M769*80)+(N769-80)+(M769*1.5)</f>
        <v>3348.8450000000003</v>
      </c>
      <c r="P769" s="35">
        <f t="shared" si="93"/>
        <v>1339.54</v>
      </c>
      <c r="Q769" s="40">
        <f t="shared" si="96"/>
        <v>6697.6900000000005</v>
      </c>
      <c r="R769" s="35">
        <v>556.29999999999995</v>
      </c>
    </row>
    <row r="770" spans="1:18" x14ac:dyDescent="0.3">
      <c r="A770" s="32">
        <v>43169</v>
      </c>
      <c r="B770" s="33" t="s">
        <v>58</v>
      </c>
      <c r="C770" s="34"/>
      <c r="D770" s="31">
        <v>53</v>
      </c>
      <c r="E770" s="35"/>
      <c r="F770" s="35"/>
      <c r="G770" s="34"/>
      <c r="H770" s="34"/>
      <c r="I770" s="34"/>
      <c r="J770" s="34"/>
      <c r="K770" s="34"/>
      <c r="L770" s="33"/>
      <c r="M770" s="38">
        <v>41.63</v>
      </c>
      <c r="N770" s="30">
        <v>53</v>
      </c>
      <c r="O770" s="50">
        <f>M770*N770</f>
        <v>2206.3900000000003</v>
      </c>
      <c r="P770" s="35">
        <f t="shared" si="93"/>
        <v>882.56</v>
      </c>
      <c r="Q770" s="40">
        <f t="shared" si="96"/>
        <v>4412.7800000000007</v>
      </c>
      <c r="R770" s="35"/>
    </row>
    <row r="771" spans="1:18" x14ac:dyDescent="0.3">
      <c r="A771" s="32">
        <v>43197</v>
      </c>
      <c r="B771" s="33" t="s">
        <v>58</v>
      </c>
      <c r="C771" s="34"/>
      <c r="D771" s="31">
        <v>106</v>
      </c>
      <c r="E771" s="35"/>
      <c r="F771" s="35"/>
      <c r="G771" s="34"/>
      <c r="H771" s="34"/>
      <c r="I771" s="34"/>
      <c r="J771" s="34"/>
      <c r="K771" s="34"/>
      <c r="L771" s="33"/>
      <c r="M771" s="38">
        <v>41.63</v>
      </c>
      <c r="N771" s="30">
        <v>106</v>
      </c>
      <c r="O771" s="50">
        <f>(M771*80)+(N771-80)*(M771*1.5)</f>
        <v>4953.97</v>
      </c>
      <c r="P771" s="35">
        <f t="shared" si="93"/>
        <v>1932.05</v>
      </c>
      <c r="Q771" s="40">
        <f t="shared" si="96"/>
        <v>9907.94</v>
      </c>
      <c r="R771" s="35"/>
    </row>
    <row r="772" spans="1:18" x14ac:dyDescent="0.3">
      <c r="A772" s="32">
        <v>43211</v>
      </c>
      <c r="B772" s="33" t="s">
        <v>58</v>
      </c>
      <c r="C772" s="34"/>
      <c r="D772" s="31">
        <v>106</v>
      </c>
      <c r="E772" s="35"/>
      <c r="F772" s="35"/>
      <c r="G772" s="34"/>
      <c r="H772" s="34"/>
      <c r="I772" s="34"/>
      <c r="J772" s="34"/>
      <c r="K772" s="34"/>
      <c r="L772" s="33"/>
      <c r="M772" s="38">
        <v>41.63</v>
      </c>
      <c r="N772" s="30">
        <v>106</v>
      </c>
      <c r="O772" s="50">
        <f t="shared" ref="O772:O787" si="97">(M772*80)+(N772-80)*(M772*1.5)</f>
        <v>4953.97</v>
      </c>
      <c r="P772" s="35">
        <f t="shared" si="93"/>
        <v>1882.51</v>
      </c>
      <c r="Q772" s="40">
        <f t="shared" si="96"/>
        <v>9907.94</v>
      </c>
      <c r="R772" s="35"/>
    </row>
    <row r="773" spans="1:18" x14ac:dyDescent="0.3">
      <c r="A773" s="32">
        <v>43225</v>
      </c>
      <c r="B773" s="33" t="s">
        <v>58</v>
      </c>
      <c r="C773" s="34"/>
      <c r="D773" s="31">
        <v>106</v>
      </c>
      <c r="E773" s="35"/>
      <c r="F773" s="35"/>
      <c r="G773" s="34"/>
      <c r="H773" s="34"/>
      <c r="I773" s="34"/>
      <c r="J773" s="34"/>
      <c r="K773" s="34"/>
      <c r="L773" s="33"/>
      <c r="M773" s="38">
        <v>41.63</v>
      </c>
      <c r="N773" s="30">
        <v>106</v>
      </c>
      <c r="O773" s="50">
        <f t="shared" si="97"/>
        <v>4953.97</v>
      </c>
      <c r="P773" s="35">
        <f t="shared" si="93"/>
        <v>1882.51</v>
      </c>
      <c r="Q773" s="40">
        <f t="shared" si="96"/>
        <v>9907.94</v>
      </c>
      <c r="R773" s="35"/>
    </row>
    <row r="774" spans="1:18" x14ac:dyDescent="0.3">
      <c r="A774" s="32">
        <v>43239</v>
      </c>
      <c r="B774" s="33" t="s">
        <v>58</v>
      </c>
      <c r="C774" s="34"/>
      <c r="D774" s="31">
        <v>93</v>
      </c>
      <c r="E774" s="35"/>
      <c r="F774" s="35"/>
      <c r="G774" s="34"/>
      <c r="H774" s="34"/>
      <c r="I774" s="34"/>
      <c r="J774" s="34"/>
      <c r="K774" s="34"/>
      <c r="L774" s="33"/>
      <c r="M774" s="38">
        <v>41.63</v>
      </c>
      <c r="N774" s="30">
        <v>93</v>
      </c>
      <c r="O774" s="50">
        <f t="shared" si="97"/>
        <v>4142.1850000000004</v>
      </c>
      <c r="P774" s="35">
        <f t="shared" si="93"/>
        <v>1532.61</v>
      </c>
      <c r="Q774" s="40">
        <f t="shared" si="96"/>
        <v>8284.3700000000008</v>
      </c>
      <c r="R774" s="35"/>
    </row>
    <row r="775" spans="1:18" x14ac:dyDescent="0.3">
      <c r="A775" s="32">
        <v>43253</v>
      </c>
      <c r="B775" s="33" t="s">
        <v>58</v>
      </c>
      <c r="C775" s="34"/>
      <c r="D775" s="31">
        <v>92</v>
      </c>
      <c r="E775" s="35"/>
      <c r="F775" s="35"/>
      <c r="G775" s="34"/>
      <c r="H775" s="34"/>
      <c r="I775" s="34"/>
      <c r="J775" s="34"/>
      <c r="K775" s="34"/>
      <c r="L775" s="33"/>
      <c r="M775" s="38">
        <v>41.63</v>
      </c>
      <c r="N775" s="30">
        <v>92</v>
      </c>
      <c r="O775" s="50">
        <f t="shared" si="97"/>
        <v>4079.7400000000002</v>
      </c>
      <c r="P775" s="35">
        <f t="shared" si="93"/>
        <v>1509.5</v>
      </c>
      <c r="Q775" s="40">
        <f t="shared" si="96"/>
        <v>8159.4800000000005</v>
      </c>
      <c r="R775" s="35"/>
    </row>
    <row r="776" spans="1:18" x14ac:dyDescent="0.3">
      <c r="A776" s="32">
        <v>43267</v>
      </c>
      <c r="B776" s="33" t="s">
        <v>58</v>
      </c>
      <c r="C776" s="34"/>
      <c r="D776" s="31">
        <v>106</v>
      </c>
      <c r="E776" s="35"/>
      <c r="F776" s="35"/>
      <c r="G776" s="34"/>
      <c r="H776" s="34"/>
      <c r="I776" s="34"/>
      <c r="J776" s="34"/>
      <c r="K776" s="34"/>
      <c r="L776" s="33"/>
      <c r="M776" s="38">
        <v>41.63</v>
      </c>
      <c r="N776" s="30">
        <v>106</v>
      </c>
      <c r="O776" s="50">
        <f t="shared" si="97"/>
        <v>4953.97</v>
      </c>
      <c r="P776" s="35">
        <f t="shared" si="93"/>
        <v>1832.97</v>
      </c>
      <c r="Q776" s="40">
        <f t="shared" si="96"/>
        <v>9907.94</v>
      </c>
      <c r="R776" s="35"/>
    </row>
    <row r="777" spans="1:18" x14ac:dyDescent="0.3">
      <c r="A777" s="32">
        <v>43281</v>
      </c>
      <c r="B777" s="33" t="s">
        <v>58</v>
      </c>
      <c r="C777" s="34"/>
      <c r="D777" s="31">
        <v>103</v>
      </c>
      <c r="E777" s="35"/>
      <c r="F777" s="35"/>
      <c r="G777" s="34"/>
      <c r="H777" s="34"/>
      <c r="I777" s="34"/>
      <c r="J777" s="34"/>
      <c r="K777" s="34"/>
      <c r="L777" s="33"/>
      <c r="M777" s="38">
        <v>41.63</v>
      </c>
      <c r="N777" s="30">
        <v>103</v>
      </c>
      <c r="O777" s="50">
        <f t="shared" si="97"/>
        <v>4766.6350000000002</v>
      </c>
      <c r="P777" s="35">
        <f t="shared" si="93"/>
        <v>1715.99</v>
      </c>
      <c r="Q777" s="40">
        <f t="shared" si="96"/>
        <v>9533.27</v>
      </c>
      <c r="R777" s="35"/>
    </row>
    <row r="778" spans="1:18" x14ac:dyDescent="0.3">
      <c r="A778" s="32">
        <v>43295</v>
      </c>
      <c r="B778" s="33" t="s">
        <v>58</v>
      </c>
      <c r="C778" s="34"/>
      <c r="D778" s="31">
        <v>72</v>
      </c>
      <c r="E778" s="35"/>
      <c r="F778" s="35"/>
      <c r="G778" s="34"/>
      <c r="H778" s="34"/>
      <c r="I778" s="34"/>
      <c r="J778" s="34"/>
      <c r="K778" s="34"/>
      <c r="L778" s="33"/>
      <c r="M778" s="38">
        <v>41.63</v>
      </c>
      <c r="N778" s="30">
        <v>72</v>
      </c>
      <c r="O778" s="50">
        <f>N778*M778</f>
        <v>2997.36</v>
      </c>
      <c r="P778" s="35">
        <f t="shared" si="93"/>
        <v>1079.05</v>
      </c>
      <c r="Q778" s="40">
        <f t="shared" si="96"/>
        <v>5994.72</v>
      </c>
      <c r="R778" s="35"/>
    </row>
    <row r="779" spans="1:18" x14ac:dyDescent="0.3">
      <c r="A779" s="32">
        <v>43309</v>
      </c>
      <c r="B779" s="33" t="s">
        <v>58</v>
      </c>
      <c r="C779" s="34"/>
      <c r="D779" s="31">
        <v>87</v>
      </c>
      <c r="E779" s="35"/>
      <c r="F779" s="35"/>
      <c r="G779" s="34"/>
      <c r="H779" s="34"/>
      <c r="I779" s="34"/>
      <c r="J779" s="34"/>
      <c r="K779" s="34"/>
      <c r="L779" s="33"/>
      <c r="M779" s="38">
        <v>41.63</v>
      </c>
      <c r="N779" s="30">
        <v>87</v>
      </c>
      <c r="O779" s="50">
        <f t="shared" si="97"/>
        <v>3767.5150000000003</v>
      </c>
      <c r="P779" s="35">
        <f t="shared" si="93"/>
        <v>1318.63</v>
      </c>
      <c r="Q779" s="40">
        <f t="shared" si="96"/>
        <v>7535.0300000000007</v>
      </c>
      <c r="R779" s="35"/>
    </row>
    <row r="780" spans="1:18" x14ac:dyDescent="0.3">
      <c r="A780" s="32">
        <v>43323</v>
      </c>
      <c r="B780" s="33" t="s">
        <v>58</v>
      </c>
      <c r="C780" s="34"/>
      <c r="D780" s="31">
        <v>89</v>
      </c>
      <c r="E780" s="35"/>
      <c r="F780" s="35"/>
      <c r="G780" s="34"/>
      <c r="H780" s="34"/>
      <c r="I780" s="34"/>
      <c r="J780" s="34"/>
      <c r="K780" s="34"/>
      <c r="L780" s="33"/>
      <c r="M780" s="38">
        <v>41.63</v>
      </c>
      <c r="N780" s="30">
        <v>89</v>
      </c>
      <c r="O780" s="50">
        <f t="shared" si="97"/>
        <v>3892.4050000000002</v>
      </c>
      <c r="P780" s="35">
        <f t="shared" si="93"/>
        <v>1362.34</v>
      </c>
      <c r="Q780" s="40">
        <f t="shared" si="96"/>
        <v>7784.81</v>
      </c>
      <c r="R780" s="35"/>
    </row>
    <row r="781" spans="1:18" x14ac:dyDescent="0.3">
      <c r="A781" s="32">
        <v>43337</v>
      </c>
      <c r="B781" s="33" t="s">
        <v>58</v>
      </c>
      <c r="C781" s="34"/>
      <c r="D781" s="31">
        <v>45</v>
      </c>
      <c r="E781" s="35"/>
      <c r="F781" s="35"/>
      <c r="G781" s="34"/>
      <c r="H781" s="34"/>
      <c r="I781" s="34"/>
      <c r="J781" s="34"/>
      <c r="K781" s="34"/>
      <c r="L781" s="33"/>
      <c r="M781" s="38">
        <v>41.63</v>
      </c>
      <c r="N781" s="30">
        <v>45</v>
      </c>
      <c r="O781" s="50">
        <f>(M781*40)+(M781*1.5)*5</f>
        <v>1977.4250000000002</v>
      </c>
      <c r="P781" s="35">
        <f t="shared" si="93"/>
        <v>672.32</v>
      </c>
      <c r="Q781" s="40">
        <f t="shared" si="96"/>
        <v>3954.8500000000004</v>
      </c>
      <c r="R781" s="35"/>
    </row>
    <row r="782" spans="1:18" x14ac:dyDescent="0.3">
      <c r="A782" s="32">
        <v>43351</v>
      </c>
      <c r="B782" s="33" t="s">
        <v>58</v>
      </c>
      <c r="C782" s="34"/>
      <c r="D782" s="31">
        <v>83</v>
      </c>
      <c r="E782" s="35"/>
      <c r="F782" s="35"/>
      <c r="G782" s="34"/>
      <c r="H782" s="34"/>
      <c r="I782" s="34"/>
      <c r="J782" s="34"/>
      <c r="K782" s="34"/>
      <c r="L782" s="33"/>
      <c r="M782" s="38">
        <v>41.63</v>
      </c>
      <c r="N782" s="30">
        <v>83</v>
      </c>
      <c r="O782" s="50">
        <f t="shared" si="97"/>
        <v>3517.7350000000001</v>
      </c>
      <c r="P782" s="35">
        <f t="shared" si="93"/>
        <v>1196.03</v>
      </c>
      <c r="Q782" s="40">
        <f t="shared" si="96"/>
        <v>7035.47</v>
      </c>
      <c r="R782" s="35"/>
    </row>
    <row r="783" spans="1:18" x14ac:dyDescent="0.3">
      <c r="A783" s="32">
        <v>43365</v>
      </c>
      <c r="B783" s="33" t="s">
        <v>58</v>
      </c>
      <c r="C783" s="34"/>
      <c r="D783" s="31">
        <v>111.5</v>
      </c>
      <c r="E783" s="35"/>
      <c r="F783" s="35"/>
      <c r="G783" s="34"/>
      <c r="H783" s="34"/>
      <c r="I783" s="34"/>
      <c r="J783" s="34"/>
      <c r="K783" s="34"/>
      <c r="L783" s="33"/>
      <c r="M783" s="38">
        <v>41.63</v>
      </c>
      <c r="N783" s="30">
        <v>111.5</v>
      </c>
      <c r="O783" s="50">
        <f t="shared" si="97"/>
        <v>5297.4175000000005</v>
      </c>
      <c r="P783" s="35">
        <f t="shared" si="93"/>
        <v>1748.15</v>
      </c>
      <c r="Q783" s="40">
        <f t="shared" si="96"/>
        <v>10594.835000000001</v>
      </c>
      <c r="R783" s="35"/>
    </row>
    <row r="784" spans="1:18" x14ac:dyDescent="0.3">
      <c r="A784" s="32">
        <v>43379</v>
      </c>
      <c r="B784" s="33" t="s">
        <v>58</v>
      </c>
      <c r="C784" s="34"/>
      <c r="D784" s="31">
        <v>99.75</v>
      </c>
      <c r="E784" s="35"/>
      <c r="F784" s="35"/>
      <c r="G784" s="34"/>
      <c r="H784" s="34"/>
      <c r="I784" s="34"/>
      <c r="J784" s="34"/>
      <c r="K784" s="34"/>
      <c r="L784" s="33"/>
      <c r="M784" s="38">
        <v>41.63</v>
      </c>
      <c r="N784" s="30">
        <v>99.75</v>
      </c>
      <c r="O784" s="50">
        <f t="shared" si="97"/>
        <v>4563.6887500000003</v>
      </c>
      <c r="P784" s="35">
        <f t="shared" si="93"/>
        <v>1506.02</v>
      </c>
      <c r="Q784" s="40">
        <f t="shared" si="96"/>
        <v>9127.3775000000005</v>
      </c>
      <c r="R784" s="35"/>
    </row>
    <row r="785" spans="1:18" x14ac:dyDescent="0.3">
      <c r="A785" s="32">
        <v>43393</v>
      </c>
      <c r="B785" s="33" t="s">
        <v>58</v>
      </c>
      <c r="C785" s="34"/>
      <c r="D785" s="31">
        <v>116</v>
      </c>
      <c r="E785" s="35"/>
      <c r="F785" s="35"/>
      <c r="G785" s="34"/>
      <c r="H785" s="34"/>
      <c r="I785" s="34"/>
      <c r="J785" s="34"/>
      <c r="K785" s="34"/>
      <c r="L785" s="33"/>
      <c r="M785" s="38">
        <v>41.63</v>
      </c>
      <c r="N785" s="30">
        <v>116</v>
      </c>
      <c r="O785" s="50">
        <f t="shared" si="97"/>
        <v>5578.42</v>
      </c>
      <c r="P785" s="35">
        <f t="shared" si="93"/>
        <v>1785.09</v>
      </c>
      <c r="Q785" s="40">
        <f t="shared" si="96"/>
        <v>11156.84</v>
      </c>
      <c r="R785" s="35"/>
    </row>
    <row r="786" spans="1:18" x14ac:dyDescent="0.3">
      <c r="A786" s="32">
        <v>43407</v>
      </c>
      <c r="B786" s="33" t="s">
        <v>58</v>
      </c>
      <c r="C786" s="34"/>
      <c r="D786" s="31">
        <v>103</v>
      </c>
      <c r="E786" s="35"/>
      <c r="F786" s="35"/>
      <c r="G786" s="34"/>
      <c r="H786" s="34"/>
      <c r="I786" s="34"/>
      <c r="J786" s="34"/>
      <c r="K786" s="34"/>
      <c r="L786" s="33"/>
      <c r="M786" s="38">
        <v>41.63</v>
      </c>
      <c r="N786" s="30">
        <v>103</v>
      </c>
      <c r="O786" s="50">
        <f t="shared" si="97"/>
        <v>4766.6350000000002</v>
      </c>
      <c r="P786" s="35">
        <f t="shared" si="93"/>
        <v>1525.32</v>
      </c>
      <c r="Q786" s="40">
        <f t="shared" si="96"/>
        <v>9533.27</v>
      </c>
      <c r="R786" s="35"/>
    </row>
    <row r="787" spans="1:18" x14ac:dyDescent="0.3">
      <c r="A787" s="32">
        <v>43421</v>
      </c>
      <c r="B787" s="33" t="s">
        <v>58</v>
      </c>
      <c r="C787" s="34"/>
      <c r="D787" s="31">
        <v>96</v>
      </c>
      <c r="E787" s="35"/>
      <c r="F787" s="35"/>
      <c r="G787" s="34"/>
      <c r="H787" s="34"/>
      <c r="I787" s="34"/>
      <c r="J787" s="34"/>
      <c r="K787" s="34"/>
      <c r="L787" s="33"/>
      <c r="M787" s="38">
        <v>41.63</v>
      </c>
      <c r="N787" s="30">
        <v>96</v>
      </c>
      <c r="O787" s="50">
        <f t="shared" si="97"/>
        <v>4329.5200000000004</v>
      </c>
      <c r="P787" s="35">
        <f t="shared" si="93"/>
        <v>1342.15</v>
      </c>
      <c r="Q787" s="40">
        <f t="shared" si="96"/>
        <v>8659.0400000000009</v>
      </c>
      <c r="R787" s="35"/>
    </row>
    <row r="788" spans="1:18" x14ac:dyDescent="0.3">
      <c r="A788" s="32">
        <v>43435</v>
      </c>
      <c r="B788" s="33" t="s">
        <v>58</v>
      </c>
      <c r="C788" s="34"/>
      <c r="D788" s="31">
        <v>24</v>
      </c>
      <c r="E788" s="35"/>
      <c r="F788" s="35"/>
      <c r="G788" s="34"/>
      <c r="H788" s="34"/>
      <c r="I788" s="34"/>
      <c r="J788" s="34"/>
      <c r="K788" s="34"/>
      <c r="L788" s="33"/>
      <c r="M788" s="38">
        <v>41.63</v>
      </c>
      <c r="N788" s="30">
        <v>24</v>
      </c>
      <c r="O788" s="50">
        <f>N788*M788</f>
        <v>999.12000000000012</v>
      </c>
      <c r="P788" s="35">
        <f t="shared" si="93"/>
        <v>309.73</v>
      </c>
      <c r="Q788" s="40">
        <f t="shared" si="96"/>
        <v>1998.2400000000002</v>
      </c>
      <c r="R788" s="35"/>
    </row>
    <row r="789" spans="1:18" x14ac:dyDescent="0.3">
      <c r="A789" s="32">
        <v>43497</v>
      </c>
      <c r="B789" s="33" t="s">
        <v>58</v>
      </c>
      <c r="C789" s="34">
        <v>2170</v>
      </c>
      <c r="D789" s="33">
        <v>80</v>
      </c>
      <c r="E789" s="35">
        <v>566.59</v>
      </c>
      <c r="F789" s="35">
        <v>2610</v>
      </c>
      <c r="G789" s="34">
        <v>566.59</v>
      </c>
      <c r="H789" s="34">
        <v>440</v>
      </c>
      <c r="I789" s="34">
        <v>3176.59</v>
      </c>
      <c r="J789" s="34">
        <v>480.11</v>
      </c>
      <c r="K789" s="34">
        <v>3656.7</v>
      </c>
      <c r="L789" s="33">
        <v>100146</v>
      </c>
      <c r="M789" s="34">
        <f t="shared" si="88"/>
        <v>27.987577092511014</v>
      </c>
      <c r="N789" s="27">
        <v>113.5</v>
      </c>
      <c r="O789" s="34">
        <f t="shared" si="92"/>
        <v>468.79191629955949</v>
      </c>
      <c r="P789" s="35">
        <f t="shared" si="93"/>
        <v>135.94999999999999</v>
      </c>
      <c r="Q789" s="40">
        <f t="shared" si="96"/>
        <v>937.58383259911898</v>
      </c>
      <c r="R789" s="35"/>
    </row>
    <row r="790" spans="1:18" x14ac:dyDescent="0.3">
      <c r="A790" s="32">
        <v>43511</v>
      </c>
      <c r="B790" s="33" t="s">
        <v>58</v>
      </c>
      <c r="C790" s="34">
        <v>2063</v>
      </c>
      <c r="D790" s="33">
        <v>80</v>
      </c>
      <c r="E790" s="35">
        <v>242.48</v>
      </c>
      <c r="F790" s="35">
        <v>2288</v>
      </c>
      <c r="G790" s="34">
        <v>242.48</v>
      </c>
      <c r="H790" s="34">
        <v>225</v>
      </c>
      <c r="I790" s="34">
        <v>2530.48</v>
      </c>
      <c r="J790" s="34">
        <v>415.11</v>
      </c>
      <c r="K790" s="34">
        <v>2945.59</v>
      </c>
      <c r="L790" s="33" t="s">
        <v>14</v>
      </c>
      <c r="M790" s="34">
        <f t="shared" si="88"/>
        <v>25.431959798994974</v>
      </c>
      <c r="N790" s="27">
        <v>99.5</v>
      </c>
      <c r="O790" s="34">
        <f t="shared" si="92"/>
        <v>247.96160804020099</v>
      </c>
      <c r="P790" s="35">
        <f t="shared" si="93"/>
        <v>69.430000000000007</v>
      </c>
      <c r="Q790" s="40">
        <f t="shared" si="96"/>
        <v>495.92321608040197</v>
      </c>
      <c r="R790" s="35"/>
    </row>
    <row r="791" spans="1:18" x14ac:dyDescent="0.3">
      <c r="A791" s="32">
        <v>43523</v>
      </c>
      <c r="B791" s="33" t="s">
        <v>58</v>
      </c>
      <c r="C791" s="34">
        <v>2041</v>
      </c>
      <c r="D791" s="33">
        <v>0</v>
      </c>
      <c r="E791" s="35">
        <v>2041</v>
      </c>
      <c r="F791" s="35"/>
      <c r="G791" s="34">
        <v>372.13</v>
      </c>
      <c r="H791" s="34">
        <v>0</v>
      </c>
      <c r="I791" s="34">
        <v>2413.13</v>
      </c>
      <c r="J791" s="34">
        <v>236.03</v>
      </c>
      <c r="K791" s="34">
        <v>2649.16</v>
      </c>
      <c r="L791" s="33" t="s">
        <v>14</v>
      </c>
      <c r="M791" s="34">
        <f t="shared" ref="M791:M853" si="98">(E791+F791)/N791</f>
        <v>22.552486187845304</v>
      </c>
      <c r="N791" s="27">
        <v>90.5</v>
      </c>
      <c r="O791" s="34">
        <f t="shared" si="92"/>
        <v>118.40055248618785</v>
      </c>
      <c r="P791" s="35">
        <f t="shared" si="93"/>
        <v>33.15</v>
      </c>
      <c r="Q791" s="40">
        <f t="shared" si="96"/>
        <v>236.8011049723757</v>
      </c>
      <c r="R791" s="35"/>
    </row>
    <row r="792" spans="1:18" x14ac:dyDescent="0.3">
      <c r="A792" s="32">
        <v>43539</v>
      </c>
      <c r="B792" s="33" t="s">
        <v>58</v>
      </c>
      <c r="C792" s="34">
        <v>885</v>
      </c>
      <c r="D792" s="30">
        <v>36</v>
      </c>
      <c r="E792" s="35">
        <v>150.12</v>
      </c>
      <c r="F792" s="35">
        <v>885</v>
      </c>
      <c r="G792" s="34">
        <v>150.12</v>
      </c>
      <c r="H792" s="34">
        <v>0</v>
      </c>
      <c r="I792" s="34">
        <v>1035.1199999999999</v>
      </c>
      <c r="J792" s="34">
        <v>258.47000000000003</v>
      </c>
      <c r="K792" s="34">
        <v>1293.5899999999999</v>
      </c>
      <c r="L792" s="33" t="s">
        <v>14</v>
      </c>
      <c r="M792" s="34">
        <f t="shared" si="98"/>
        <v>28.75333333333333</v>
      </c>
      <c r="N792" s="27">
        <v>36</v>
      </c>
      <c r="O792" s="34">
        <v>0</v>
      </c>
      <c r="P792" s="35">
        <f t="shared" si="93"/>
        <v>0</v>
      </c>
      <c r="Q792" s="40">
        <f t="shared" si="96"/>
        <v>0</v>
      </c>
      <c r="R792" s="35"/>
    </row>
    <row r="793" spans="1:18" x14ac:dyDescent="0.3">
      <c r="A793" s="32">
        <v>43553</v>
      </c>
      <c r="B793" s="33" t="s">
        <v>58</v>
      </c>
      <c r="C793" s="34">
        <v>2093</v>
      </c>
      <c r="D793" s="33">
        <v>80</v>
      </c>
      <c r="E793" s="35">
        <v>438.11</v>
      </c>
      <c r="F793" s="35">
        <v>2093</v>
      </c>
      <c r="G793" s="34">
        <v>438.11</v>
      </c>
      <c r="H793" s="34">
        <v>0</v>
      </c>
      <c r="I793" s="34">
        <v>2531.11</v>
      </c>
      <c r="J793" s="34">
        <v>399.99</v>
      </c>
      <c r="K793" s="34">
        <v>2931.1</v>
      </c>
      <c r="L793" s="33" t="s">
        <v>14</v>
      </c>
      <c r="M793" s="34">
        <f t="shared" si="98"/>
        <v>27.814395604395607</v>
      </c>
      <c r="N793" s="27">
        <v>91</v>
      </c>
      <c r="O793" s="34">
        <f t="shared" si="92"/>
        <v>152.97917582417583</v>
      </c>
      <c r="P793" s="35">
        <f t="shared" si="93"/>
        <v>41.3</v>
      </c>
      <c r="Q793" s="40">
        <f t="shared" si="96"/>
        <v>305.95835164835165</v>
      </c>
      <c r="R793" s="35"/>
    </row>
    <row r="794" spans="1:18" x14ac:dyDescent="0.3">
      <c r="A794" s="32">
        <v>43567</v>
      </c>
      <c r="B794" s="33" t="s">
        <v>58</v>
      </c>
      <c r="C794" s="34">
        <v>2093</v>
      </c>
      <c r="D794" s="33">
        <v>80</v>
      </c>
      <c r="E794" s="35">
        <v>599.11</v>
      </c>
      <c r="F794" s="35">
        <v>1932</v>
      </c>
      <c r="G794" s="34">
        <v>438.11</v>
      </c>
      <c r="H794" s="34">
        <v>0</v>
      </c>
      <c r="I794" s="34">
        <v>2531.11</v>
      </c>
      <c r="J794" s="34">
        <v>399.99</v>
      </c>
      <c r="K794" s="34">
        <v>2931.1</v>
      </c>
      <c r="L794" s="33" t="s">
        <v>14</v>
      </c>
      <c r="M794" s="34">
        <f t="shared" si="98"/>
        <v>30.132261904761908</v>
      </c>
      <c r="N794" s="27">
        <v>84</v>
      </c>
      <c r="O794" s="34">
        <f t="shared" si="92"/>
        <v>60.264523809523816</v>
      </c>
      <c r="P794" s="35">
        <f t="shared" si="93"/>
        <v>16.27</v>
      </c>
      <c r="Q794" s="40">
        <f t="shared" si="96"/>
        <v>120.52904761904763</v>
      </c>
      <c r="R794" s="35"/>
    </row>
    <row r="795" spans="1:18" x14ac:dyDescent="0.3">
      <c r="A795" s="32">
        <v>43903</v>
      </c>
      <c r="B795" s="33" t="s">
        <v>58</v>
      </c>
      <c r="C795" s="34">
        <v>920</v>
      </c>
      <c r="D795" s="36">
        <v>40</v>
      </c>
      <c r="E795" s="35">
        <v>3608.32</v>
      </c>
      <c r="F795" s="35">
        <v>920</v>
      </c>
      <c r="G795" s="34">
        <v>102.7</v>
      </c>
      <c r="H795" s="34">
        <v>0</v>
      </c>
      <c r="I795" s="34">
        <v>1022.7</v>
      </c>
      <c r="J795" s="34">
        <v>147.19999999999999</v>
      </c>
      <c r="K795" s="34">
        <v>1169.9000000000001</v>
      </c>
      <c r="L795" s="33" t="s">
        <v>14</v>
      </c>
      <c r="M795" s="34">
        <f t="shared" si="98"/>
        <v>113.208</v>
      </c>
      <c r="N795" s="41">
        <v>40</v>
      </c>
      <c r="O795" s="34">
        <v>0</v>
      </c>
      <c r="P795" s="35">
        <f t="shared" si="93"/>
        <v>0</v>
      </c>
      <c r="Q795" s="40">
        <f t="shared" si="96"/>
        <v>0</v>
      </c>
      <c r="R795" s="35"/>
    </row>
    <row r="796" spans="1:18" x14ac:dyDescent="0.3">
      <c r="A796" s="32">
        <v>43917</v>
      </c>
      <c r="B796" s="33" t="s">
        <v>58</v>
      </c>
      <c r="C796" s="34">
        <v>3094.94</v>
      </c>
      <c r="D796" s="33">
        <v>86</v>
      </c>
      <c r="E796" s="35"/>
      <c r="F796" s="49">
        <v>4154</v>
      </c>
      <c r="G796" s="34">
        <v>219.06</v>
      </c>
      <c r="H796" s="34">
        <v>0</v>
      </c>
      <c r="I796" s="34">
        <v>3314</v>
      </c>
      <c r="J796" s="34">
        <v>349.69</v>
      </c>
      <c r="K796" s="34">
        <v>3663.69</v>
      </c>
      <c r="L796" s="33" t="s">
        <v>14</v>
      </c>
      <c r="M796" s="34">
        <f t="shared" si="98"/>
        <v>48.302325581395351</v>
      </c>
      <c r="N796" s="27">
        <v>86</v>
      </c>
      <c r="O796" s="42">
        <v>0</v>
      </c>
      <c r="P796" s="35">
        <f t="shared" si="93"/>
        <v>0</v>
      </c>
      <c r="Q796" s="40">
        <f t="shared" si="96"/>
        <v>0</v>
      </c>
      <c r="R796" s="35"/>
    </row>
    <row r="797" spans="1:18" x14ac:dyDescent="0.3">
      <c r="A797" s="32">
        <v>43931</v>
      </c>
      <c r="B797" s="33" t="s">
        <v>58</v>
      </c>
      <c r="C797" s="34">
        <v>940.97</v>
      </c>
      <c r="D797" s="36">
        <v>16</v>
      </c>
      <c r="E797" s="35"/>
      <c r="F797" s="35">
        <v>1040</v>
      </c>
      <c r="G797" s="34">
        <v>99.03</v>
      </c>
      <c r="H797" s="34">
        <v>0</v>
      </c>
      <c r="I797" s="34">
        <v>1040</v>
      </c>
      <c r="J797" s="34">
        <v>152.83000000000001</v>
      </c>
      <c r="K797" s="34">
        <v>1192.83</v>
      </c>
      <c r="L797" s="33" t="s">
        <v>14</v>
      </c>
      <c r="M797" s="34">
        <f t="shared" si="98"/>
        <v>65</v>
      </c>
      <c r="N797" s="27">
        <v>16</v>
      </c>
      <c r="O797" s="34">
        <v>0</v>
      </c>
      <c r="P797" s="35">
        <f t="shared" si="93"/>
        <v>0</v>
      </c>
      <c r="Q797" s="40">
        <f t="shared" si="96"/>
        <v>0</v>
      </c>
      <c r="R797" s="35"/>
    </row>
    <row r="798" spans="1:18" hidden="1" x14ac:dyDescent="0.3">
      <c r="A798" s="37" t="s">
        <v>77</v>
      </c>
      <c r="B798" s="33" t="s">
        <v>58</v>
      </c>
      <c r="C798" s="34">
        <v>500.12</v>
      </c>
      <c r="D798" s="33">
        <v>16</v>
      </c>
      <c r="E798" s="33"/>
      <c r="F798" s="33">
        <v>552.76</v>
      </c>
      <c r="G798" s="34">
        <v>52.64</v>
      </c>
      <c r="H798" s="34">
        <v>0</v>
      </c>
      <c r="I798" s="34">
        <v>552.76</v>
      </c>
      <c r="J798" s="34">
        <v>81.83</v>
      </c>
      <c r="K798" s="34">
        <v>634.59</v>
      </c>
      <c r="L798" s="33" t="s">
        <v>14</v>
      </c>
      <c r="M798" s="34" t="e">
        <f t="shared" si="98"/>
        <v>#DIV/0!</v>
      </c>
      <c r="N798" s="27"/>
      <c r="O798" s="34" t="e">
        <f t="shared" si="92"/>
        <v>#DIV/0!</v>
      </c>
      <c r="P798" s="35" t="e">
        <f t="shared" si="93"/>
        <v>#VALUE!</v>
      </c>
      <c r="Q798" s="34" t="e">
        <f t="shared" si="94"/>
        <v>#DIV/0!</v>
      </c>
      <c r="R798" s="35"/>
    </row>
    <row r="799" spans="1:18" hidden="1" x14ac:dyDescent="0.3">
      <c r="A799" s="37" t="s">
        <v>77</v>
      </c>
      <c r="B799" s="33" t="s">
        <v>58</v>
      </c>
      <c r="C799" s="34">
        <v>700.03</v>
      </c>
      <c r="D799" s="33">
        <v>29.76</v>
      </c>
      <c r="E799" s="33"/>
      <c r="F799" s="33">
        <v>773.31</v>
      </c>
      <c r="G799" s="34">
        <v>73.680000000000007</v>
      </c>
      <c r="H799" s="34">
        <v>0</v>
      </c>
      <c r="I799" s="34">
        <v>773.71</v>
      </c>
      <c r="J799" s="34">
        <v>114.54</v>
      </c>
      <c r="K799" s="34">
        <v>888.25</v>
      </c>
      <c r="L799" s="33" t="s">
        <v>14</v>
      </c>
      <c r="M799" s="34" t="e">
        <f t="shared" si="98"/>
        <v>#DIV/0!</v>
      </c>
      <c r="N799" s="27"/>
      <c r="O799" s="34" t="e">
        <f t="shared" si="92"/>
        <v>#DIV/0!</v>
      </c>
      <c r="P799" s="35" t="e">
        <f t="shared" si="93"/>
        <v>#VALUE!</v>
      </c>
      <c r="Q799" s="34" t="e">
        <f t="shared" si="94"/>
        <v>#DIV/0!</v>
      </c>
      <c r="R799" s="35"/>
    </row>
    <row r="800" spans="1:18" hidden="1" x14ac:dyDescent="0.3">
      <c r="A800" s="37" t="s">
        <v>77</v>
      </c>
      <c r="B800" s="33" t="s">
        <v>58</v>
      </c>
      <c r="C800" s="34">
        <v>300</v>
      </c>
      <c r="D800" s="33">
        <v>12.75</v>
      </c>
      <c r="E800" s="33"/>
      <c r="F800" s="33">
        <v>331.58</v>
      </c>
      <c r="G800" s="34">
        <v>31.58</v>
      </c>
      <c r="H800" s="34">
        <v>0</v>
      </c>
      <c r="I800" s="34">
        <v>331.58</v>
      </c>
      <c r="J800" s="34">
        <v>49.09</v>
      </c>
      <c r="K800" s="34">
        <v>380.67</v>
      </c>
      <c r="L800" s="33" t="s">
        <v>14</v>
      </c>
      <c r="M800" s="34" t="e">
        <f t="shared" si="98"/>
        <v>#DIV/0!</v>
      </c>
      <c r="N800" s="27"/>
      <c r="O800" s="34" t="e">
        <f t="shared" si="92"/>
        <v>#DIV/0!</v>
      </c>
      <c r="P800" s="35" t="e">
        <f t="shared" si="93"/>
        <v>#VALUE!</v>
      </c>
      <c r="Q800" s="34" t="e">
        <f t="shared" si="94"/>
        <v>#DIV/0!</v>
      </c>
      <c r="R800" s="35"/>
    </row>
    <row r="801" spans="1:19" x14ac:dyDescent="0.3">
      <c r="A801" s="32">
        <v>43987</v>
      </c>
      <c r="B801" s="33" t="s">
        <v>58</v>
      </c>
      <c r="C801" s="34">
        <v>2148.17</v>
      </c>
      <c r="D801" s="33">
        <v>87.5</v>
      </c>
      <c r="E801" s="35"/>
      <c r="F801" s="49">
        <v>2372.5</v>
      </c>
      <c r="G801" s="34">
        <v>224.33</v>
      </c>
      <c r="H801" s="34">
        <v>0</v>
      </c>
      <c r="I801" s="34">
        <v>2372.5</v>
      </c>
      <c r="J801" s="34">
        <v>344.36</v>
      </c>
      <c r="K801" s="34">
        <v>2716.86</v>
      </c>
      <c r="L801" s="33" t="s">
        <v>14</v>
      </c>
      <c r="M801" s="34">
        <f t="shared" si="98"/>
        <v>27.114285714285714</v>
      </c>
      <c r="N801" s="27">
        <v>87.5</v>
      </c>
      <c r="O801" s="42">
        <v>0</v>
      </c>
      <c r="P801" s="35">
        <f t="shared" si="93"/>
        <v>0</v>
      </c>
      <c r="Q801" s="40">
        <f>O801*2</f>
        <v>0</v>
      </c>
      <c r="R801" s="35"/>
      <c r="S801" s="89"/>
    </row>
    <row r="802" spans="1:19" hidden="1" x14ac:dyDescent="0.3">
      <c r="A802" s="37" t="s">
        <v>77</v>
      </c>
      <c r="B802" s="33" t="s">
        <v>59</v>
      </c>
      <c r="C802" s="34">
        <v>1981</v>
      </c>
      <c r="D802" s="33">
        <v>80</v>
      </c>
      <c r="E802" s="33">
        <v>216.33</v>
      </c>
      <c r="F802" s="33">
        <v>1980.8</v>
      </c>
      <c r="G802" s="34">
        <v>216.13</v>
      </c>
      <c r="H802" s="34">
        <v>0</v>
      </c>
      <c r="I802" s="34">
        <v>2197.13</v>
      </c>
      <c r="J802" s="34">
        <v>381.57</v>
      </c>
      <c r="K802" s="34">
        <v>2578.6999999999998</v>
      </c>
      <c r="L802" s="33">
        <v>100134</v>
      </c>
      <c r="M802" s="34" t="e">
        <f t="shared" si="98"/>
        <v>#DIV/0!</v>
      </c>
      <c r="N802" s="27"/>
      <c r="O802" s="34" t="e">
        <f t="shared" si="92"/>
        <v>#DIV/0!</v>
      </c>
      <c r="P802" s="35" t="e">
        <f t="shared" si="93"/>
        <v>#VALUE!</v>
      </c>
      <c r="Q802" s="34" t="e">
        <f t="shared" si="94"/>
        <v>#DIV/0!</v>
      </c>
      <c r="R802" s="35">
        <v>409.55</v>
      </c>
    </row>
    <row r="803" spans="1:19" x14ac:dyDescent="0.3">
      <c r="A803" s="32">
        <v>43497</v>
      </c>
      <c r="B803" s="33" t="s">
        <v>59</v>
      </c>
      <c r="C803" s="34">
        <v>2163</v>
      </c>
      <c r="D803" s="33">
        <v>80</v>
      </c>
      <c r="E803" s="35">
        <v>1574.92</v>
      </c>
      <c r="F803" s="35">
        <v>1980.8</v>
      </c>
      <c r="G803" s="34">
        <v>807.72</v>
      </c>
      <c r="H803" s="34">
        <v>585</v>
      </c>
      <c r="I803" s="34">
        <v>3555.72</v>
      </c>
      <c r="J803" s="34">
        <v>518.26</v>
      </c>
      <c r="K803" s="34">
        <v>4073.98</v>
      </c>
      <c r="L803" s="33">
        <v>100142</v>
      </c>
      <c r="M803" s="34">
        <f t="shared" si="98"/>
        <v>29.754979079497911</v>
      </c>
      <c r="N803" s="27">
        <v>119.5</v>
      </c>
      <c r="O803" s="34">
        <f t="shared" si="92"/>
        <v>587.66083682008377</v>
      </c>
      <c r="P803" s="35">
        <f t="shared" si="93"/>
        <v>170.42</v>
      </c>
      <c r="Q803" s="40">
        <f t="shared" ref="Q803:Q812" si="99">O803*2</f>
        <v>1175.3216736401675</v>
      </c>
      <c r="R803" s="35">
        <v>556.29999999999995</v>
      </c>
    </row>
    <row r="804" spans="1:19" x14ac:dyDescent="0.3">
      <c r="A804" s="32">
        <v>43511</v>
      </c>
      <c r="B804" s="33" t="s">
        <v>59</v>
      </c>
      <c r="C804" s="34">
        <v>2357</v>
      </c>
      <c r="D804" s="33">
        <v>80</v>
      </c>
      <c r="E804" s="35">
        <v>248.39</v>
      </c>
      <c r="F804" s="35">
        <v>2357</v>
      </c>
      <c r="G804" s="34">
        <v>248.39</v>
      </c>
      <c r="H804" s="34">
        <v>0</v>
      </c>
      <c r="I804" s="34">
        <v>2605.39</v>
      </c>
      <c r="J804" s="34">
        <v>414.47</v>
      </c>
      <c r="K804" s="34">
        <v>3019.86</v>
      </c>
      <c r="L804" s="33" t="s">
        <v>14</v>
      </c>
      <c r="M804" s="34">
        <f t="shared" si="98"/>
        <v>25.418439024390242</v>
      </c>
      <c r="N804" s="27">
        <v>102.5</v>
      </c>
      <c r="O804" s="34">
        <f t="shared" si="92"/>
        <v>285.95743902439023</v>
      </c>
      <c r="P804" s="35">
        <f t="shared" ref="P804:P867" si="100">ROUND(((ROUNDDOWN(($W$1-A804)/30,0))/100)*O804,2)</f>
        <v>80.069999999999993</v>
      </c>
      <c r="Q804" s="40">
        <f t="shared" si="99"/>
        <v>571.91487804878045</v>
      </c>
      <c r="R804" s="35"/>
    </row>
    <row r="805" spans="1:19" x14ac:dyDescent="0.3">
      <c r="A805" s="32">
        <v>43523</v>
      </c>
      <c r="B805" s="33" t="s">
        <v>59</v>
      </c>
      <c r="C805" s="34">
        <v>1818</v>
      </c>
      <c r="D805" s="36">
        <v>49</v>
      </c>
      <c r="E805" s="35">
        <v>1818</v>
      </c>
      <c r="F805" s="35"/>
      <c r="G805" s="34">
        <v>350.36</v>
      </c>
      <c r="H805" s="34">
        <v>0</v>
      </c>
      <c r="I805" s="34">
        <v>2168.36</v>
      </c>
      <c r="J805" s="34">
        <v>205.14</v>
      </c>
      <c r="K805" s="34">
        <v>2373.5</v>
      </c>
      <c r="L805" s="33" t="s">
        <v>14</v>
      </c>
      <c r="M805" s="34">
        <f t="shared" si="98"/>
        <v>21.642857142857142</v>
      </c>
      <c r="N805" s="27">
        <v>84</v>
      </c>
      <c r="O805" s="38">
        <f>(M805*0.5)*9</f>
        <v>97.392857142857139</v>
      </c>
      <c r="P805" s="35">
        <f t="shared" si="100"/>
        <v>27.27</v>
      </c>
      <c r="Q805" s="40">
        <f t="shared" si="99"/>
        <v>194.78571428571428</v>
      </c>
      <c r="R805" s="35"/>
    </row>
    <row r="806" spans="1:19" x14ac:dyDescent="0.3">
      <c r="A806" s="32">
        <v>43539</v>
      </c>
      <c r="B806" s="33" t="s">
        <v>59</v>
      </c>
      <c r="C806" s="34">
        <v>2150</v>
      </c>
      <c r="D806" s="33">
        <v>80</v>
      </c>
      <c r="E806" s="35">
        <v>721.78</v>
      </c>
      <c r="F806" s="35">
        <v>1980.8</v>
      </c>
      <c r="G806" s="34">
        <v>552.58000000000004</v>
      </c>
      <c r="H806" s="34">
        <v>0</v>
      </c>
      <c r="I806" s="34">
        <v>2702.58</v>
      </c>
      <c r="J806" s="34">
        <v>416.19</v>
      </c>
      <c r="K806" s="34">
        <v>3118.77</v>
      </c>
      <c r="L806" s="33" t="s">
        <v>14</v>
      </c>
      <c r="M806" s="34">
        <f t="shared" si="98"/>
        <v>28.904598930481281</v>
      </c>
      <c r="N806" s="27">
        <v>93.5</v>
      </c>
      <c r="O806" s="34">
        <f t="shared" si="92"/>
        <v>195.10604278074865</v>
      </c>
      <c r="P806" s="35">
        <f t="shared" si="100"/>
        <v>52.68</v>
      </c>
      <c r="Q806" s="40">
        <f t="shared" si="99"/>
        <v>390.2120855614973</v>
      </c>
      <c r="R806" s="35"/>
    </row>
    <row r="807" spans="1:19" x14ac:dyDescent="0.3">
      <c r="A807" s="32">
        <v>43553</v>
      </c>
      <c r="B807" s="33" t="s">
        <v>59</v>
      </c>
      <c r="C807" s="34">
        <v>1743</v>
      </c>
      <c r="D807" s="33">
        <v>80</v>
      </c>
      <c r="E807" s="35">
        <v>640.48</v>
      </c>
      <c r="F807" s="35">
        <v>1980.8</v>
      </c>
      <c r="G807" s="34">
        <v>528.28</v>
      </c>
      <c r="H807" s="34">
        <v>350</v>
      </c>
      <c r="I807" s="34">
        <v>2621.2800000000002</v>
      </c>
      <c r="J807" s="34">
        <v>408.51</v>
      </c>
      <c r="K807" s="34">
        <v>3029.79</v>
      </c>
      <c r="L807" s="33" t="s">
        <v>14</v>
      </c>
      <c r="M807" s="34">
        <f t="shared" si="98"/>
        <v>28.805274725274721</v>
      </c>
      <c r="N807" s="27">
        <v>91</v>
      </c>
      <c r="O807" s="34">
        <f t="shared" si="92"/>
        <v>158.42901098901098</v>
      </c>
      <c r="P807" s="35">
        <f t="shared" si="100"/>
        <v>42.78</v>
      </c>
      <c r="Q807" s="40">
        <f t="shared" si="99"/>
        <v>316.85802197802195</v>
      </c>
      <c r="R807" s="35"/>
    </row>
    <row r="808" spans="1:19" x14ac:dyDescent="0.3">
      <c r="A808" s="32">
        <v>43567</v>
      </c>
      <c r="B808" s="33" t="s">
        <v>59</v>
      </c>
      <c r="C808" s="34">
        <v>1984</v>
      </c>
      <c r="D808" s="33">
        <v>80</v>
      </c>
      <c r="E808" s="35">
        <v>542.04999999999995</v>
      </c>
      <c r="F808" s="35">
        <v>1980.8</v>
      </c>
      <c r="G808" s="34">
        <v>498.85</v>
      </c>
      <c r="H808" s="34">
        <v>40</v>
      </c>
      <c r="I808" s="34">
        <v>2522.85</v>
      </c>
      <c r="J808" s="34">
        <v>399.2</v>
      </c>
      <c r="K808" s="34">
        <v>2922.05</v>
      </c>
      <c r="L808" s="33" t="s">
        <v>14</v>
      </c>
      <c r="M808" s="34">
        <f t="shared" si="98"/>
        <v>28.668749999999999</v>
      </c>
      <c r="N808" s="27">
        <v>88</v>
      </c>
      <c r="O808" s="34">
        <f t="shared" si="92"/>
        <v>114.675</v>
      </c>
      <c r="P808" s="35">
        <f t="shared" si="100"/>
        <v>30.96</v>
      </c>
      <c r="Q808" s="40">
        <f t="shared" si="99"/>
        <v>229.35</v>
      </c>
      <c r="R808" s="35"/>
    </row>
    <row r="809" spans="1:19" x14ac:dyDescent="0.3">
      <c r="A809" s="32">
        <v>43581</v>
      </c>
      <c r="B809" s="33" t="s">
        <v>59</v>
      </c>
      <c r="C809" s="34">
        <v>1572</v>
      </c>
      <c r="D809" s="33">
        <v>80</v>
      </c>
      <c r="E809" s="35">
        <v>410.78</v>
      </c>
      <c r="F809" s="35">
        <v>1980.8</v>
      </c>
      <c r="G809" s="34">
        <v>459.58</v>
      </c>
      <c r="H809" s="34">
        <v>360</v>
      </c>
      <c r="I809" s="34">
        <v>2391.58</v>
      </c>
      <c r="J809" s="34">
        <v>382.71</v>
      </c>
      <c r="K809" s="34">
        <v>2774.29</v>
      </c>
      <c r="L809" s="33" t="s">
        <v>14</v>
      </c>
      <c r="M809" s="34">
        <f t="shared" si="98"/>
        <v>28.471190476190475</v>
      </c>
      <c r="N809" s="27">
        <v>84</v>
      </c>
      <c r="O809" s="34">
        <f t="shared" si="92"/>
        <v>56.942380952380951</v>
      </c>
      <c r="P809" s="35">
        <f t="shared" si="100"/>
        <v>14.81</v>
      </c>
      <c r="Q809" s="40">
        <f t="shared" si="99"/>
        <v>113.8847619047619</v>
      </c>
      <c r="R809" s="35"/>
    </row>
    <row r="810" spans="1:19" x14ac:dyDescent="0.3">
      <c r="A810" s="32">
        <v>43595</v>
      </c>
      <c r="B810" s="33" t="s">
        <v>59</v>
      </c>
      <c r="C810" s="34">
        <v>2116</v>
      </c>
      <c r="D810" s="33">
        <v>80</v>
      </c>
      <c r="E810" s="35">
        <v>673.29</v>
      </c>
      <c r="F810" s="35">
        <v>1980.8</v>
      </c>
      <c r="G810" s="34">
        <v>538.09</v>
      </c>
      <c r="H810" s="34">
        <v>0</v>
      </c>
      <c r="I810" s="34">
        <v>2654.09</v>
      </c>
      <c r="J810" s="34">
        <v>407.12</v>
      </c>
      <c r="K810" s="34">
        <v>3061.21</v>
      </c>
      <c r="L810" s="33" t="s">
        <v>14</v>
      </c>
      <c r="M810" s="34">
        <f t="shared" si="98"/>
        <v>28.848804347826089</v>
      </c>
      <c r="N810" s="27">
        <v>92</v>
      </c>
      <c r="O810" s="34">
        <f t="shared" si="92"/>
        <v>173.09282608695653</v>
      </c>
      <c r="P810" s="35">
        <f t="shared" si="100"/>
        <v>45</v>
      </c>
      <c r="Q810" s="40">
        <f t="shared" si="99"/>
        <v>346.18565217391307</v>
      </c>
      <c r="R810" s="35"/>
    </row>
    <row r="811" spans="1:19" x14ac:dyDescent="0.3">
      <c r="A811" s="32">
        <v>43609</v>
      </c>
      <c r="B811" s="33" t="s">
        <v>59</v>
      </c>
      <c r="C811" s="34">
        <v>2189</v>
      </c>
      <c r="D811" s="33">
        <v>80</v>
      </c>
      <c r="E811" s="35">
        <v>1308.0999999999999</v>
      </c>
      <c r="F811" s="35">
        <v>1980.8</v>
      </c>
      <c r="G811" s="34">
        <v>727.9</v>
      </c>
      <c r="H811" s="34">
        <v>372</v>
      </c>
      <c r="I811" s="34">
        <v>3288.9</v>
      </c>
      <c r="J811" s="34">
        <v>466.07</v>
      </c>
      <c r="K811" s="34">
        <v>3754.97</v>
      </c>
      <c r="L811" s="33" t="s">
        <v>14</v>
      </c>
      <c r="M811" s="34">
        <f t="shared" si="98"/>
        <v>31.472727272727269</v>
      </c>
      <c r="N811" s="27">
        <v>104.5</v>
      </c>
      <c r="O811" s="34">
        <f t="shared" si="92"/>
        <v>385.54090909090905</v>
      </c>
      <c r="P811" s="35">
        <f t="shared" si="100"/>
        <v>96.39</v>
      </c>
      <c r="Q811" s="40">
        <f t="shared" si="99"/>
        <v>771.08181818181811</v>
      </c>
      <c r="R811" s="35"/>
    </row>
    <row r="812" spans="1:19" x14ac:dyDescent="0.3">
      <c r="A812" s="32">
        <v>43623</v>
      </c>
      <c r="B812" s="33" t="s">
        <v>59</v>
      </c>
      <c r="C812" s="34">
        <v>2038</v>
      </c>
      <c r="D812" s="33">
        <v>80</v>
      </c>
      <c r="E812" s="35">
        <v>604.82000000000005</v>
      </c>
      <c r="F812" s="35">
        <v>1980.8</v>
      </c>
      <c r="G812" s="34">
        <v>517.62</v>
      </c>
      <c r="H812" s="34">
        <v>30</v>
      </c>
      <c r="I812" s="34">
        <v>2585.62</v>
      </c>
      <c r="J812" s="34">
        <v>400.76</v>
      </c>
      <c r="K812" s="34">
        <v>2986.38</v>
      </c>
      <c r="L812" s="33" t="s">
        <v>14</v>
      </c>
      <c r="M812" s="34">
        <f t="shared" si="98"/>
        <v>28.889608938547486</v>
      </c>
      <c r="N812" s="27">
        <v>89.5</v>
      </c>
      <c r="O812" s="34">
        <f t="shared" si="92"/>
        <v>137.22564245810057</v>
      </c>
      <c r="P812" s="35">
        <f t="shared" si="100"/>
        <v>34.31</v>
      </c>
      <c r="Q812" s="40">
        <f t="shared" si="99"/>
        <v>274.45128491620113</v>
      </c>
      <c r="R812" s="35"/>
    </row>
    <row r="813" spans="1:19" hidden="1" x14ac:dyDescent="0.3">
      <c r="A813" s="37" t="s">
        <v>77</v>
      </c>
      <c r="B813" s="33" t="s">
        <v>59</v>
      </c>
      <c r="C813" s="34">
        <v>813</v>
      </c>
      <c r="D813" s="33">
        <v>50</v>
      </c>
      <c r="E813" s="33">
        <v>64.489999999999995</v>
      </c>
      <c r="F813" s="33">
        <v>1238</v>
      </c>
      <c r="G813" s="34">
        <v>129.49</v>
      </c>
      <c r="H813" s="34">
        <v>360</v>
      </c>
      <c r="I813" s="34">
        <v>1302.49</v>
      </c>
      <c r="J813" s="34">
        <v>221.33</v>
      </c>
      <c r="K813" s="34">
        <v>1523.82</v>
      </c>
      <c r="L813" s="33" t="s">
        <v>14</v>
      </c>
      <c r="M813" s="34" t="e">
        <f t="shared" si="98"/>
        <v>#DIV/0!</v>
      </c>
      <c r="N813" s="27"/>
      <c r="O813" s="34" t="e">
        <f t="shared" si="92"/>
        <v>#DIV/0!</v>
      </c>
      <c r="P813" s="35" t="e">
        <f t="shared" si="100"/>
        <v>#VALUE!</v>
      </c>
      <c r="Q813" s="34" t="e">
        <f t="shared" si="94"/>
        <v>#DIV/0!</v>
      </c>
      <c r="R813" s="35"/>
    </row>
    <row r="814" spans="1:19" x14ac:dyDescent="0.3">
      <c r="A814" s="32">
        <v>43651</v>
      </c>
      <c r="B814" s="33" t="s">
        <v>59</v>
      </c>
      <c r="C814" s="34">
        <v>1741</v>
      </c>
      <c r="D814" s="30">
        <v>77</v>
      </c>
      <c r="E814" s="35">
        <v>60.87</v>
      </c>
      <c r="F814" s="35">
        <v>1906.52</v>
      </c>
      <c r="G814" s="34">
        <v>196.39</v>
      </c>
      <c r="H814" s="34">
        <v>30</v>
      </c>
      <c r="I814" s="34">
        <v>1967.39</v>
      </c>
      <c r="J814" s="34">
        <v>337.29</v>
      </c>
      <c r="K814" s="34">
        <v>2304.6799999999998</v>
      </c>
      <c r="L814" s="33" t="s">
        <v>14</v>
      </c>
      <c r="M814" s="34">
        <f t="shared" si="98"/>
        <v>25.55051948051948</v>
      </c>
      <c r="N814" s="27">
        <v>77</v>
      </c>
      <c r="O814" s="34">
        <v>0</v>
      </c>
      <c r="P814" s="35">
        <f t="shared" si="100"/>
        <v>0</v>
      </c>
      <c r="Q814" s="40">
        <f t="shared" ref="Q814:Q834" si="101">O814*2</f>
        <v>0</v>
      </c>
      <c r="R814" s="35"/>
    </row>
    <row r="815" spans="1:19" x14ac:dyDescent="0.3">
      <c r="A815" s="32">
        <v>43665</v>
      </c>
      <c r="B815" s="33" t="s">
        <v>59</v>
      </c>
      <c r="C815" s="34">
        <v>1771</v>
      </c>
      <c r="D815" s="36">
        <v>45</v>
      </c>
      <c r="E815" s="35">
        <v>223.34</v>
      </c>
      <c r="F815" s="35">
        <v>1771</v>
      </c>
      <c r="G815" s="34">
        <v>223.34</v>
      </c>
      <c r="H815" s="34">
        <v>0</v>
      </c>
      <c r="I815" s="34">
        <v>1994.34</v>
      </c>
      <c r="J815" s="34">
        <v>339.8</v>
      </c>
      <c r="K815" s="34">
        <v>2334.14</v>
      </c>
      <c r="L815" s="33" t="s">
        <v>14</v>
      </c>
      <c r="M815" s="34">
        <f t="shared" si="98"/>
        <v>25.900519480519481</v>
      </c>
      <c r="N815" s="27">
        <v>77</v>
      </c>
      <c r="O815" s="38">
        <f>(M815*0.5)*5</f>
        <v>64.751298701298708</v>
      </c>
      <c r="P815" s="35">
        <f t="shared" si="100"/>
        <v>14.89</v>
      </c>
      <c r="Q815" s="40">
        <f t="shared" si="101"/>
        <v>129.50259740259742</v>
      </c>
      <c r="R815" s="35"/>
    </row>
    <row r="816" spans="1:19" x14ac:dyDescent="0.3">
      <c r="A816" s="32">
        <v>43679</v>
      </c>
      <c r="B816" s="33" t="s">
        <v>59</v>
      </c>
      <c r="C816" s="34">
        <v>1854</v>
      </c>
      <c r="D816" s="33">
        <v>80</v>
      </c>
      <c r="E816" s="35">
        <v>332.84</v>
      </c>
      <c r="F816" s="35">
        <v>2254</v>
      </c>
      <c r="G816" s="34">
        <v>332.88</v>
      </c>
      <c r="H816" s="34">
        <v>399.96</v>
      </c>
      <c r="I816" s="34">
        <v>2586.84</v>
      </c>
      <c r="J816" s="34">
        <v>400.86</v>
      </c>
      <c r="K816" s="34">
        <v>2987.7</v>
      </c>
      <c r="L816" s="33" t="s">
        <v>14</v>
      </c>
      <c r="M816" s="34">
        <f t="shared" si="98"/>
        <v>26.396326530612246</v>
      </c>
      <c r="N816" s="27">
        <v>98</v>
      </c>
      <c r="O816" s="34">
        <f t="shared" si="92"/>
        <v>237.56693877551021</v>
      </c>
      <c r="P816" s="35">
        <f t="shared" si="100"/>
        <v>54.64</v>
      </c>
      <c r="Q816" s="40">
        <f t="shared" si="101"/>
        <v>475.13387755102042</v>
      </c>
      <c r="R816" s="35"/>
    </row>
    <row r="817" spans="1:18" x14ac:dyDescent="0.3">
      <c r="A817" s="32">
        <v>43693</v>
      </c>
      <c r="B817" s="33" t="s">
        <v>59</v>
      </c>
      <c r="C817" s="34">
        <v>2514</v>
      </c>
      <c r="D817" s="33">
        <v>80</v>
      </c>
      <c r="E817" s="35">
        <v>409.93</v>
      </c>
      <c r="F817" s="35">
        <v>2564</v>
      </c>
      <c r="G817" s="34">
        <v>409.93</v>
      </c>
      <c r="H817" s="34">
        <v>50</v>
      </c>
      <c r="I817" s="34">
        <v>2973.93</v>
      </c>
      <c r="J817" s="34">
        <v>436.81</v>
      </c>
      <c r="K817" s="34">
        <v>3410.74</v>
      </c>
      <c r="L817" s="33" t="s">
        <v>14</v>
      </c>
      <c r="M817" s="34">
        <f t="shared" si="98"/>
        <v>26.672017937219728</v>
      </c>
      <c r="N817" s="27">
        <v>111.5</v>
      </c>
      <c r="O817" s="34">
        <f t="shared" si="92"/>
        <v>420.08428251121069</v>
      </c>
      <c r="P817" s="35">
        <f t="shared" si="100"/>
        <v>92.42</v>
      </c>
      <c r="Q817" s="40">
        <f t="shared" si="101"/>
        <v>840.16856502242138</v>
      </c>
      <c r="R817" s="35"/>
    </row>
    <row r="818" spans="1:18" x14ac:dyDescent="0.3">
      <c r="A818" s="32">
        <v>43707</v>
      </c>
      <c r="B818" s="33" t="s">
        <v>59</v>
      </c>
      <c r="C818" s="34">
        <v>1865</v>
      </c>
      <c r="D818" s="33">
        <v>80</v>
      </c>
      <c r="E818" s="35">
        <v>335.64</v>
      </c>
      <c r="F818" s="35">
        <v>2265</v>
      </c>
      <c r="G818" s="34">
        <v>335.64</v>
      </c>
      <c r="H818" s="34">
        <v>400</v>
      </c>
      <c r="I818" s="34">
        <v>2600.64</v>
      </c>
      <c r="J818" s="34">
        <v>402.14</v>
      </c>
      <c r="K818" s="34">
        <v>3002.78</v>
      </c>
      <c r="L818" s="33" t="s">
        <v>14</v>
      </c>
      <c r="M818" s="34">
        <f t="shared" si="98"/>
        <v>26.402436548223349</v>
      </c>
      <c r="N818" s="27">
        <v>98.5</v>
      </c>
      <c r="O818" s="34">
        <f t="shared" si="92"/>
        <v>244.22253807106597</v>
      </c>
      <c r="P818" s="35">
        <f t="shared" si="100"/>
        <v>53.73</v>
      </c>
      <c r="Q818" s="40">
        <f t="shared" si="101"/>
        <v>488.44507614213194</v>
      </c>
      <c r="R818" s="35"/>
    </row>
    <row r="819" spans="1:18" x14ac:dyDescent="0.3">
      <c r="A819" s="32">
        <v>43721</v>
      </c>
      <c r="B819" s="33" t="s">
        <v>59</v>
      </c>
      <c r="C819" s="34">
        <v>2047</v>
      </c>
      <c r="D819" s="36">
        <v>50</v>
      </c>
      <c r="E819" s="35">
        <v>285.45</v>
      </c>
      <c r="F819" s="35">
        <v>2047</v>
      </c>
      <c r="G819" s="34">
        <v>285.45</v>
      </c>
      <c r="H819" s="34">
        <v>0</v>
      </c>
      <c r="I819" s="34">
        <v>2332.4499999999998</v>
      </c>
      <c r="J819" s="34">
        <v>377.23</v>
      </c>
      <c r="K819" s="34">
        <v>2709.68</v>
      </c>
      <c r="L819" s="33" t="s">
        <v>14</v>
      </c>
      <c r="M819" s="34">
        <f t="shared" si="98"/>
        <v>26.207303370786516</v>
      </c>
      <c r="N819" s="27">
        <v>89</v>
      </c>
      <c r="O819" s="38">
        <f>(M819*0.5)*10</f>
        <v>131.03651685393257</v>
      </c>
      <c r="P819" s="35">
        <f t="shared" si="100"/>
        <v>27.52</v>
      </c>
      <c r="Q819" s="40">
        <f t="shared" si="101"/>
        <v>262.07303370786514</v>
      </c>
      <c r="R819" s="35"/>
    </row>
    <row r="820" spans="1:18" x14ac:dyDescent="0.3">
      <c r="A820" s="32">
        <v>43735</v>
      </c>
      <c r="B820" s="33" t="s">
        <v>59</v>
      </c>
      <c r="C820" s="34">
        <v>2156</v>
      </c>
      <c r="D820" s="33">
        <v>80</v>
      </c>
      <c r="E820" s="35">
        <v>407.93</v>
      </c>
      <c r="F820" s="35">
        <v>2556</v>
      </c>
      <c r="G820" s="34">
        <v>407.93</v>
      </c>
      <c r="H820" s="34">
        <v>400</v>
      </c>
      <c r="I820" s="34">
        <v>2963.93</v>
      </c>
      <c r="J820" s="34">
        <v>435.88</v>
      </c>
      <c r="K820" s="34">
        <v>3399.81</v>
      </c>
      <c r="L820" s="33" t="s">
        <v>14</v>
      </c>
      <c r="M820" s="34">
        <f t="shared" si="98"/>
        <v>27.830328638497651</v>
      </c>
      <c r="N820" s="27">
        <v>106.5</v>
      </c>
      <c r="O820" s="34">
        <f t="shared" si="92"/>
        <v>368.75185446009385</v>
      </c>
      <c r="P820" s="35">
        <f t="shared" si="100"/>
        <v>77.44</v>
      </c>
      <c r="Q820" s="40">
        <f t="shared" si="101"/>
        <v>737.50370892018771</v>
      </c>
      <c r="R820" s="35"/>
    </row>
    <row r="821" spans="1:18" x14ac:dyDescent="0.3">
      <c r="A821" s="32">
        <v>43749</v>
      </c>
      <c r="B821" s="33" t="s">
        <v>59</v>
      </c>
      <c r="C821" s="34">
        <v>2362</v>
      </c>
      <c r="D821" s="33">
        <v>80</v>
      </c>
      <c r="E821" s="35">
        <v>372.17</v>
      </c>
      <c r="F821" s="35">
        <v>2412</v>
      </c>
      <c r="G821" s="34">
        <v>372.17</v>
      </c>
      <c r="H821" s="34">
        <v>50</v>
      </c>
      <c r="I821" s="34">
        <v>2784.17</v>
      </c>
      <c r="J821" s="34">
        <v>402.81</v>
      </c>
      <c r="K821" s="34">
        <v>3186.98</v>
      </c>
      <c r="L821" s="33" t="s">
        <v>14</v>
      </c>
      <c r="M821" s="34">
        <f t="shared" si="98"/>
        <v>27.295784313725491</v>
      </c>
      <c r="N821" s="27">
        <v>102</v>
      </c>
      <c r="O821" s="34">
        <f t="shared" si="92"/>
        <v>300.25362745098039</v>
      </c>
      <c r="P821" s="35">
        <f t="shared" si="100"/>
        <v>60.05</v>
      </c>
      <c r="Q821" s="40">
        <f t="shared" si="101"/>
        <v>600.50725490196078</v>
      </c>
      <c r="R821" s="35"/>
    </row>
    <row r="822" spans="1:18" x14ac:dyDescent="0.3">
      <c r="A822" s="32">
        <v>43763</v>
      </c>
      <c r="B822" s="33" t="s">
        <v>59</v>
      </c>
      <c r="C822" s="34">
        <v>1713</v>
      </c>
      <c r="D822" s="36">
        <v>49.5</v>
      </c>
      <c r="E822" s="35">
        <v>294.39</v>
      </c>
      <c r="F822" s="35">
        <v>2088</v>
      </c>
      <c r="G822" s="34">
        <v>294.39</v>
      </c>
      <c r="H822" s="34">
        <v>375</v>
      </c>
      <c r="I822" s="34">
        <v>2382.39</v>
      </c>
      <c r="J822" s="34">
        <v>342.79</v>
      </c>
      <c r="K822" s="34">
        <v>2725.18</v>
      </c>
      <c r="L822" s="33" t="s">
        <v>14</v>
      </c>
      <c r="M822" s="34">
        <f t="shared" si="98"/>
        <v>27.383793103448273</v>
      </c>
      <c r="N822" s="27">
        <v>87</v>
      </c>
      <c r="O822" s="38">
        <f>(M822*0.5)*9.5</f>
        <v>130.07301724137929</v>
      </c>
      <c r="P822" s="35">
        <f t="shared" si="100"/>
        <v>26.01</v>
      </c>
      <c r="Q822" s="40">
        <f t="shared" si="101"/>
        <v>260.14603448275858</v>
      </c>
      <c r="R822" s="35"/>
    </row>
    <row r="823" spans="1:18" x14ac:dyDescent="0.3">
      <c r="A823" s="32">
        <v>43777</v>
      </c>
      <c r="B823" s="33" t="s">
        <v>59</v>
      </c>
      <c r="C823" s="34">
        <v>2266</v>
      </c>
      <c r="D823" s="33">
        <v>80</v>
      </c>
      <c r="E823" s="35">
        <v>348.29</v>
      </c>
      <c r="F823" s="35">
        <v>2316</v>
      </c>
      <c r="G823" s="34">
        <v>348.29</v>
      </c>
      <c r="H823" s="34">
        <v>50</v>
      </c>
      <c r="I823" s="34">
        <v>2664.29</v>
      </c>
      <c r="J823" s="34">
        <v>364.35</v>
      </c>
      <c r="K823" s="34">
        <v>3028.64</v>
      </c>
      <c r="L823" s="33" t="s">
        <v>14</v>
      </c>
      <c r="M823" s="34">
        <f t="shared" si="98"/>
        <v>27.609222797927462</v>
      </c>
      <c r="N823" s="27">
        <v>96.5</v>
      </c>
      <c r="O823" s="34">
        <f t="shared" ref="O823:O888" si="102">((N823-80)*M823)*0.5</f>
        <v>227.77608808290157</v>
      </c>
      <c r="P823" s="35">
        <f t="shared" si="100"/>
        <v>45.56</v>
      </c>
      <c r="Q823" s="40">
        <f t="shared" si="101"/>
        <v>455.55217616580313</v>
      </c>
      <c r="R823" s="35"/>
    </row>
    <row r="824" spans="1:18" x14ac:dyDescent="0.3">
      <c r="A824" s="32">
        <v>43791</v>
      </c>
      <c r="B824" s="33" t="s">
        <v>59</v>
      </c>
      <c r="C824" s="34">
        <v>1688</v>
      </c>
      <c r="D824" s="36">
        <v>51</v>
      </c>
      <c r="E824" s="35">
        <v>294.41000000000003</v>
      </c>
      <c r="F824" s="35">
        <v>2088</v>
      </c>
      <c r="G824" s="34">
        <v>294.41000000000003</v>
      </c>
      <c r="H824" s="34">
        <v>400</v>
      </c>
      <c r="I824" s="34">
        <v>2382.41</v>
      </c>
      <c r="J824" s="34">
        <v>342.8</v>
      </c>
      <c r="K824" s="34">
        <v>2725.21</v>
      </c>
      <c r="L824" s="33" t="s">
        <v>14</v>
      </c>
      <c r="M824" s="34">
        <f t="shared" si="98"/>
        <v>27.384022988505745</v>
      </c>
      <c r="N824" s="27">
        <v>87</v>
      </c>
      <c r="O824" s="38">
        <f>(M824*0.5)*11</f>
        <v>150.61212643678161</v>
      </c>
      <c r="P824" s="35">
        <f t="shared" si="100"/>
        <v>28.62</v>
      </c>
      <c r="Q824" s="40">
        <f t="shared" si="101"/>
        <v>301.22425287356322</v>
      </c>
      <c r="R824" s="35"/>
    </row>
    <row r="825" spans="1:18" x14ac:dyDescent="0.3">
      <c r="A825" s="32">
        <v>43805</v>
      </c>
      <c r="B825" s="33" t="s">
        <v>59</v>
      </c>
      <c r="C825" s="34">
        <v>1794</v>
      </c>
      <c r="D825" s="36">
        <v>49.5</v>
      </c>
      <c r="E825" s="35">
        <v>236.83</v>
      </c>
      <c r="F825" s="35">
        <v>1824</v>
      </c>
      <c r="G825" s="34">
        <v>236.83</v>
      </c>
      <c r="H825" s="34">
        <v>30</v>
      </c>
      <c r="I825" s="34">
        <v>2060.83</v>
      </c>
      <c r="J825" s="34">
        <v>318.2</v>
      </c>
      <c r="K825" s="34">
        <v>2379.0300000000002</v>
      </c>
      <c r="L825" s="33" t="s">
        <v>14</v>
      </c>
      <c r="M825" s="34">
        <f t="shared" si="98"/>
        <v>27.116184210526313</v>
      </c>
      <c r="N825" s="27">
        <v>76</v>
      </c>
      <c r="O825" s="38">
        <f>(M825*0.5)*9.5</f>
        <v>128.801875</v>
      </c>
      <c r="P825" s="35">
        <f t="shared" si="100"/>
        <v>24.47</v>
      </c>
      <c r="Q825" s="40">
        <f t="shared" si="101"/>
        <v>257.60374999999999</v>
      </c>
      <c r="R825" s="35"/>
    </row>
    <row r="826" spans="1:18" x14ac:dyDescent="0.3">
      <c r="A826" s="32">
        <v>43819</v>
      </c>
      <c r="B826" s="33" t="s">
        <v>59</v>
      </c>
      <c r="C826" s="34">
        <v>2194</v>
      </c>
      <c r="D826" s="33">
        <v>80</v>
      </c>
      <c r="E826" s="35">
        <v>330.41</v>
      </c>
      <c r="F826" s="35">
        <v>2244</v>
      </c>
      <c r="G826" s="34">
        <v>330.41</v>
      </c>
      <c r="H826" s="34">
        <v>50</v>
      </c>
      <c r="I826" s="34">
        <v>2574.41</v>
      </c>
      <c r="J826" s="34">
        <v>357.48</v>
      </c>
      <c r="K826" s="34">
        <v>2931.89</v>
      </c>
      <c r="L826" s="33" t="s">
        <v>14</v>
      </c>
      <c r="M826" s="34">
        <f t="shared" si="98"/>
        <v>29.25465909090909</v>
      </c>
      <c r="N826" s="27">
        <v>88</v>
      </c>
      <c r="O826" s="34">
        <f t="shared" si="102"/>
        <v>117.01863636363636</v>
      </c>
      <c r="P826" s="35">
        <f t="shared" si="100"/>
        <v>21.06</v>
      </c>
      <c r="Q826" s="40">
        <f t="shared" si="101"/>
        <v>234.03727272727272</v>
      </c>
      <c r="R826" s="35"/>
    </row>
    <row r="827" spans="1:18" x14ac:dyDescent="0.3">
      <c r="A827" s="32">
        <v>43833</v>
      </c>
      <c r="B827" s="33" t="s">
        <v>59</v>
      </c>
      <c r="C827" s="34">
        <v>2644</v>
      </c>
      <c r="D827" s="36">
        <v>49</v>
      </c>
      <c r="E827" s="35">
        <v>424.28</v>
      </c>
      <c r="F827" s="35">
        <v>2644</v>
      </c>
      <c r="G827" s="34">
        <v>424.28</v>
      </c>
      <c r="H827" s="34">
        <v>0</v>
      </c>
      <c r="I827" s="34">
        <v>3068.28</v>
      </c>
      <c r="J827" s="34">
        <v>463.99</v>
      </c>
      <c r="K827" s="34">
        <v>3532.27</v>
      </c>
      <c r="L827" s="33" t="s">
        <v>14</v>
      </c>
      <c r="M827" s="34">
        <f t="shared" si="98"/>
        <v>37.879999999999995</v>
      </c>
      <c r="N827" s="27">
        <v>81</v>
      </c>
      <c r="O827" s="38">
        <f>(M827*0.5)*9</f>
        <v>170.45999999999998</v>
      </c>
      <c r="P827" s="35">
        <f t="shared" si="100"/>
        <v>30.68</v>
      </c>
      <c r="Q827" s="40">
        <f t="shared" si="101"/>
        <v>340.91999999999996</v>
      </c>
      <c r="R827" s="35"/>
    </row>
    <row r="828" spans="1:18" x14ac:dyDescent="0.3">
      <c r="A828" s="32">
        <v>43847</v>
      </c>
      <c r="B828" s="33" t="s">
        <v>59</v>
      </c>
      <c r="C828" s="34">
        <v>2313</v>
      </c>
      <c r="D828" s="36">
        <v>51.5</v>
      </c>
      <c r="E828" s="35"/>
      <c r="F828" s="35">
        <v>2413</v>
      </c>
      <c r="G828" s="34">
        <v>296.41000000000003</v>
      </c>
      <c r="H828" s="34">
        <v>100</v>
      </c>
      <c r="I828" s="34">
        <v>2709.41</v>
      </c>
      <c r="J828" s="34">
        <v>399.19</v>
      </c>
      <c r="K828" s="34">
        <v>3108.6</v>
      </c>
      <c r="L828" s="33" t="s">
        <v>14</v>
      </c>
      <c r="M828" s="34">
        <f t="shared" si="98"/>
        <v>28.898203592814372</v>
      </c>
      <c r="N828" s="27">
        <v>83.5</v>
      </c>
      <c r="O828" s="38">
        <f>(M828*0.5)*11.5</f>
        <v>166.16467065868264</v>
      </c>
      <c r="P828" s="35">
        <f t="shared" si="100"/>
        <v>28.25</v>
      </c>
      <c r="Q828" s="40">
        <f t="shared" si="101"/>
        <v>332.32934131736528</v>
      </c>
      <c r="R828" s="35"/>
    </row>
    <row r="829" spans="1:18" x14ac:dyDescent="0.3">
      <c r="A829" s="32">
        <v>43861</v>
      </c>
      <c r="B829" s="33" t="s">
        <v>59</v>
      </c>
      <c r="C829" s="34">
        <v>2268</v>
      </c>
      <c r="D829" s="33">
        <v>80</v>
      </c>
      <c r="E829" s="35"/>
      <c r="F829" s="35">
        <v>2268</v>
      </c>
      <c r="G829" s="34">
        <v>270.45</v>
      </c>
      <c r="H829" s="34">
        <v>0</v>
      </c>
      <c r="I829" s="34">
        <v>2538.4499999999998</v>
      </c>
      <c r="J829" s="34">
        <v>380.34</v>
      </c>
      <c r="K829" s="34">
        <v>2918.79</v>
      </c>
      <c r="L829" s="33" t="s">
        <v>14</v>
      </c>
      <c r="M829" s="34">
        <f t="shared" si="98"/>
        <v>24</v>
      </c>
      <c r="N829" s="27">
        <v>94.5</v>
      </c>
      <c r="O829" s="34">
        <f t="shared" si="102"/>
        <v>174</v>
      </c>
      <c r="P829" s="35">
        <f t="shared" si="100"/>
        <v>29.58</v>
      </c>
      <c r="Q829" s="40">
        <f t="shared" si="101"/>
        <v>348</v>
      </c>
      <c r="R829" s="35"/>
    </row>
    <row r="830" spans="1:18" x14ac:dyDescent="0.3">
      <c r="A830" s="32">
        <v>43875</v>
      </c>
      <c r="B830" s="33" t="s">
        <v>59</v>
      </c>
      <c r="C830" s="34">
        <v>2050</v>
      </c>
      <c r="D830" s="33">
        <v>80</v>
      </c>
      <c r="E830" s="35"/>
      <c r="F830" s="35">
        <v>2100</v>
      </c>
      <c r="G830" s="34">
        <v>231.55</v>
      </c>
      <c r="H830" s="34">
        <v>50</v>
      </c>
      <c r="I830" s="34">
        <v>2331.5500000000002</v>
      </c>
      <c r="J830" s="34">
        <v>307.51</v>
      </c>
      <c r="K830" s="34">
        <v>2639.06</v>
      </c>
      <c r="L830" s="33" t="s">
        <v>14</v>
      </c>
      <c r="M830" s="34">
        <f t="shared" si="98"/>
        <v>24</v>
      </c>
      <c r="N830" s="27">
        <v>87.5</v>
      </c>
      <c r="O830" s="34">
        <f t="shared" si="102"/>
        <v>90</v>
      </c>
      <c r="P830" s="35">
        <f t="shared" si="100"/>
        <v>14.4</v>
      </c>
      <c r="Q830" s="40">
        <f t="shared" si="101"/>
        <v>180</v>
      </c>
      <c r="R830" s="35"/>
    </row>
    <row r="831" spans="1:18" x14ac:dyDescent="0.3">
      <c r="A831" s="32">
        <v>43889</v>
      </c>
      <c r="B831" s="33" t="s">
        <v>59</v>
      </c>
      <c r="C831" s="34">
        <v>1798</v>
      </c>
      <c r="D831" s="36">
        <v>41</v>
      </c>
      <c r="E831" s="35"/>
      <c r="F831" s="35">
        <v>1848</v>
      </c>
      <c r="G831" s="34">
        <v>186.44</v>
      </c>
      <c r="H831" s="34">
        <v>50</v>
      </c>
      <c r="I831" s="34">
        <v>2034.44</v>
      </c>
      <c r="J831" s="34">
        <v>284.10000000000002</v>
      </c>
      <c r="K831" s="34">
        <v>2318.54</v>
      </c>
      <c r="L831" s="33" t="s">
        <v>14</v>
      </c>
      <c r="M831" s="34">
        <f t="shared" si="98"/>
        <v>24</v>
      </c>
      <c r="N831" s="27">
        <v>77</v>
      </c>
      <c r="O831" s="38">
        <f>(M831*0.5)*1</f>
        <v>12</v>
      </c>
      <c r="P831" s="35">
        <f t="shared" si="100"/>
        <v>1.92</v>
      </c>
      <c r="Q831" s="40">
        <f t="shared" si="101"/>
        <v>24</v>
      </c>
      <c r="R831" s="35"/>
    </row>
    <row r="832" spans="1:18" x14ac:dyDescent="0.3">
      <c r="A832" s="32">
        <v>43903</v>
      </c>
      <c r="B832" s="33" t="s">
        <v>59</v>
      </c>
      <c r="C832" s="34">
        <v>2264</v>
      </c>
      <c r="D832" s="33">
        <v>80</v>
      </c>
      <c r="E832" s="35"/>
      <c r="F832" s="35">
        <v>2314</v>
      </c>
      <c r="G832" s="34">
        <v>269.86</v>
      </c>
      <c r="H832" s="34">
        <v>50</v>
      </c>
      <c r="I832" s="34">
        <v>2583.86</v>
      </c>
      <c r="J832" s="34">
        <v>327.38</v>
      </c>
      <c r="K832" s="34">
        <v>2911.24</v>
      </c>
      <c r="L832" s="33" t="s">
        <v>14</v>
      </c>
      <c r="M832" s="34">
        <f t="shared" si="98"/>
        <v>26</v>
      </c>
      <c r="N832" s="27">
        <v>89</v>
      </c>
      <c r="O832" s="34">
        <f t="shared" si="102"/>
        <v>117</v>
      </c>
      <c r="P832" s="35">
        <f t="shared" si="100"/>
        <v>17.55</v>
      </c>
      <c r="Q832" s="40">
        <f t="shared" si="101"/>
        <v>234</v>
      </c>
      <c r="R832" s="35"/>
    </row>
    <row r="833" spans="1:18" x14ac:dyDescent="0.3">
      <c r="A833" s="32">
        <v>43917</v>
      </c>
      <c r="B833" s="33" t="s">
        <v>59</v>
      </c>
      <c r="C833" s="34">
        <v>2055.52</v>
      </c>
      <c r="D833" s="30">
        <v>79</v>
      </c>
      <c r="E833" s="35"/>
      <c r="F833" s="35">
        <v>2370</v>
      </c>
      <c r="G833" s="34">
        <v>279.48</v>
      </c>
      <c r="H833" s="34">
        <v>35</v>
      </c>
      <c r="I833" s="34">
        <v>2370</v>
      </c>
      <c r="J833" s="34">
        <v>331.19</v>
      </c>
      <c r="K833" s="34">
        <v>2701.19</v>
      </c>
      <c r="L833" s="33" t="s">
        <v>14</v>
      </c>
      <c r="M833" s="34">
        <f t="shared" si="98"/>
        <v>30</v>
      </c>
      <c r="N833" s="27">
        <v>79</v>
      </c>
      <c r="O833" s="34">
        <v>0</v>
      </c>
      <c r="P833" s="35">
        <f t="shared" si="100"/>
        <v>0</v>
      </c>
      <c r="Q833" s="40">
        <f t="shared" si="101"/>
        <v>0</v>
      </c>
      <c r="R833" s="35"/>
    </row>
    <row r="834" spans="1:18" x14ac:dyDescent="0.3">
      <c r="A834" s="32">
        <v>43931</v>
      </c>
      <c r="B834" s="33" t="s">
        <v>59</v>
      </c>
      <c r="C834" s="34">
        <v>1088.32</v>
      </c>
      <c r="D834" s="30">
        <v>24</v>
      </c>
      <c r="E834" s="35"/>
      <c r="F834" s="35">
        <v>1200</v>
      </c>
      <c r="G834" s="34">
        <v>111.68</v>
      </c>
      <c r="H834" s="34">
        <v>0</v>
      </c>
      <c r="I834" s="34">
        <v>1200</v>
      </c>
      <c r="J834" s="34">
        <v>167.69</v>
      </c>
      <c r="K834" s="34">
        <v>1367.69</v>
      </c>
      <c r="L834" s="33" t="s">
        <v>14</v>
      </c>
      <c r="M834" s="34">
        <f t="shared" si="98"/>
        <v>50</v>
      </c>
      <c r="N834" s="27">
        <v>24</v>
      </c>
      <c r="O834" s="34">
        <v>0</v>
      </c>
      <c r="P834" s="35">
        <f t="shared" si="100"/>
        <v>0</v>
      </c>
      <c r="Q834" s="40">
        <f t="shared" si="101"/>
        <v>0</v>
      </c>
      <c r="R834" s="35"/>
    </row>
    <row r="835" spans="1:18" hidden="1" x14ac:dyDescent="0.3">
      <c r="A835" s="37" t="s">
        <v>77</v>
      </c>
      <c r="B835" s="33" t="s">
        <v>59</v>
      </c>
      <c r="C835" s="34">
        <v>500.08</v>
      </c>
      <c r="D835" s="33">
        <v>18.38</v>
      </c>
      <c r="E835" s="33"/>
      <c r="F835" s="33">
        <v>551.4</v>
      </c>
      <c r="G835" s="34">
        <v>51.32</v>
      </c>
      <c r="H835" s="34">
        <v>0</v>
      </c>
      <c r="I835" s="34">
        <v>551.4</v>
      </c>
      <c r="J835" s="34">
        <v>76.459999999999994</v>
      </c>
      <c r="K835" s="34">
        <v>627.86</v>
      </c>
      <c r="L835" s="33" t="s">
        <v>14</v>
      </c>
      <c r="M835" s="34" t="e">
        <f t="shared" si="98"/>
        <v>#DIV/0!</v>
      </c>
      <c r="N835" s="27"/>
      <c r="O835" s="34" t="e">
        <f t="shared" si="102"/>
        <v>#DIV/0!</v>
      </c>
      <c r="P835" s="35" t="e">
        <f t="shared" si="100"/>
        <v>#VALUE!</v>
      </c>
      <c r="Q835" s="34" t="e">
        <f t="shared" ref="Q835:Q876" si="103">O835*1.5</f>
        <v>#DIV/0!</v>
      </c>
      <c r="R835" s="35"/>
    </row>
    <row r="836" spans="1:18" hidden="1" x14ac:dyDescent="0.3">
      <c r="A836" s="37" t="s">
        <v>77</v>
      </c>
      <c r="B836" s="33" t="s">
        <v>59</v>
      </c>
      <c r="C836" s="34">
        <v>700</v>
      </c>
      <c r="D836" s="33">
        <v>25.73</v>
      </c>
      <c r="E836" s="33"/>
      <c r="F836" s="33">
        <v>771.83</v>
      </c>
      <c r="G836" s="34">
        <v>71.83</v>
      </c>
      <c r="H836" s="34">
        <v>0</v>
      </c>
      <c r="I836" s="34">
        <v>771.83</v>
      </c>
      <c r="J836" s="34">
        <v>107.03</v>
      </c>
      <c r="K836" s="34">
        <v>878.86</v>
      </c>
      <c r="L836" s="33" t="s">
        <v>14</v>
      </c>
      <c r="M836" s="34" t="e">
        <f t="shared" si="98"/>
        <v>#DIV/0!</v>
      </c>
      <c r="N836" s="27"/>
      <c r="O836" s="34" t="e">
        <f t="shared" si="102"/>
        <v>#DIV/0!</v>
      </c>
      <c r="P836" s="35" t="e">
        <f t="shared" si="100"/>
        <v>#VALUE!</v>
      </c>
      <c r="Q836" s="34" t="e">
        <f t="shared" si="103"/>
        <v>#DIV/0!</v>
      </c>
      <c r="R836" s="35"/>
    </row>
    <row r="837" spans="1:18" x14ac:dyDescent="0.3">
      <c r="A837" s="32">
        <v>43973</v>
      </c>
      <c r="B837" s="33" t="s">
        <v>59</v>
      </c>
      <c r="C837" s="34">
        <v>435.34</v>
      </c>
      <c r="D837" s="30">
        <v>16</v>
      </c>
      <c r="E837" s="35"/>
      <c r="F837" s="35">
        <v>480</v>
      </c>
      <c r="G837" s="34">
        <v>44.66</v>
      </c>
      <c r="H837" s="34">
        <v>0</v>
      </c>
      <c r="I837" s="34">
        <v>480</v>
      </c>
      <c r="J837" s="34">
        <v>66.56</v>
      </c>
      <c r="K837" s="34">
        <v>546.55999999999995</v>
      </c>
      <c r="L837" s="33" t="s">
        <v>14</v>
      </c>
      <c r="M837" s="34">
        <f t="shared" si="98"/>
        <v>30</v>
      </c>
      <c r="N837" s="27">
        <v>16</v>
      </c>
      <c r="O837" s="34">
        <v>0</v>
      </c>
      <c r="P837" s="35">
        <f t="shared" si="100"/>
        <v>0</v>
      </c>
      <c r="Q837" s="40">
        <f t="shared" ref="Q837:Q854" si="104">O837*2</f>
        <v>0</v>
      </c>
      <c r="R837" s="35"/>
    </row>
    <row r="838" spans="1:18" x14ac:dyDescent="0.3">
      <c r="A838" s="32">
        <v>43987</v>
      </c>
      <c r="B838" s="33" t="s">
        <v>59</v>
      </c>
      <c r="C838" s="34">
        <v>1921.08</v>
      </c>
      <c r="D838" s="30">
        <v>72</v>
      </c>
      <c r="E838" s="35"/>
      <c r="F838" s="35">
        <v>2160</v>
      </c>
      <c r="G838" s="34">
        <v>238.92</v>
      </c>
      <c r="H838" s="34">
        <v>0</v>
      </c>
      <c r="I838" s="34">
        <v>2160</v>
      </c>
      <c r="J838" s="34">
        <v>299.52999999999997</v>
      </c>
      <c r="K838" s="34">
        <v>2459.5300000000002</v>
      </c>
      <c r="L838" s="33" t="s">
        <v>14</v>
      </c>
      <c r="M838" s="34">
        <f t="shared" si="98"/>
        <v>30</v>
      </c>
      <c r="N838" s="27">
        <v>72</v>
      </c>
      <c r="O838" s="34">
        <v>0</v>
      </c>
      <c r="P838" s="35">
        <f t="shared" si="100"/>
        <v>0</v>
      </c>
      <c r="Q838" s="40">
        <f t="shared" si="104"/>
        <v>0</v>
      </c>
      <c r="R838" s="35"/>
    </row>
    <row r="839" spans="1:18" x14ac:dyDescent="0.3">
      <c r="A839" s="29">
        <v>43995</v>
      </c>
      <c r="B839" s="33" t="s">
        <v>59</v>
      </c>
      <c r="C839" s="38">
        <v>0</v>
      </c>
      <c r="D839" s="30">
        <v>48</v>
      </c>
      <c r="E839" s="35"/>
      <c r="F839" s="49">
        <v>1440</v>
      </c>
      <c r="G839" s="34"/>
      <c r="H839" s="34"/>
      <c r="I839" s="34"/>
      <c r="J839" s="34"/>
      <c r="K839" s="34"/>
      <c r="L839" s="33"/>
      <c r="M839" s="34">
        <v>28.38</v>
      </c>
      <c r="N839" s="27">
        <v>48</v>
      </c>
      <c r="O839" s="34">
        <v>0</v>
      </c>
      <c r="P839" s="35">
        <f t="shared" si="100"/>
        <v>0</v>
      </c>
      <c r="Q839" s="40">
        <f t="shared" si="104"/>
        <v>0</v>
      </c>
      <c r="R839" s="35"/>
    </row>
    <row r="840" spans="1:18" x14ac:dyDescent="0.3">
      <c r="A840" s="32">
        <v>43721</v>
      </c>
      <c r="B840" s="33" t="s">
        <v>60</v>
      </c>
      <c r="C840" s="34">
        <v>621</v>
      </c>
      <c r="D840" s="30">
        <v>34.5</v>
      </c>
      <c r="E840" s="35">
        <v>73.48</v>
      </c>
      <c r="F840" s="35">
        <v>621</v>
      </c>
      <c r="G840" s="34">
        <v>73.48</v>
      </c>
      <c r="H840" s="34">
        <v>0</v>
      </c>
      <c r="I840" s="34">
        <v>694.48</v>
      </c>
      <c r="J840" s="34">
        <v>138.91999999999999</v>
      </c>
      <c r="K840" s="34">
        <v>833.4</v>
      </c>
      <c r="L840" s="33" t="s">
        <v>14</v>
      </c>
      <c r="M840" s="34">
        <f t="shared" si="98"/>
        <v>20.129855072463769</v>
      </c>
      <c r="N840" s="27">
        <v>34.5</v>
      </c>
      <c r="O840" s="34">
        <v>0</v>
      </c>
      <c r="P840" s="35">
        <f t="shared" si="100"/>
        <v>0</v>
      </c>
      <c r="Q840" s="40">
        <f t="shared" si="104"/>
        <v>0</v>
      </c>
      <c r="R840" s="35">
        <v>556.29999999999995</v>
      </c>
    </row>
    <row r="841" spans="1:18" x14ac:dyDescent="0.3">
      <c r="A841" s="32">
        <v>43735</v>
      </c>
      <c r="B841" s="33" t="s">
        <v>60</v>
      </c>
      <c r="C841" s="34">
        <v>1812</v>
      </c>
      <c r="D841" s="33">
        <v>80</v>
      </c>
      <c r="E841" s="35">
        <v>266.92</v>
      </c>
      <c r="F841" s="35">
        <v>1962</v>
      </c>
      <c r="G841" s="34">
        <v>266.92</v>
      </c>
      <c r="H841" s="34">
        <v>150</v>
      </c>
      <c r="I841" s="34">
        <v>2228.92</v>
      </c>
      <c r="J841" s="34">
        <v>380.98</v>
      </c>
      <c r="K841" s="34">
        <v>2609.9</v>
      </c>
      <c r="L841" s="33" t="s">
        <v>14</v>
      </c>
      <c r="M841" s="34">
        <f t="shared" si="98"/>
        <v>20.448807339449541</v>
      </c>
      <c r="N841" s="27">
        <v>109</v>
      </c>
      <c r="O841" s="34">
        <f t="shared" si="102"/>
        <v>296.50770642201832</v>
      </c>
      <c r="P841" s="35">
        <f t="shared" si="100"/>
        <v>62.27</v>
      </c>
      <c r="Q841" s="40">
        <f t="shared" si="104"/>
        <v>593.01541284403663</v>
      </c>
      <c r="R841" s="35"/>
    </row>
    <row r="842" spans="1:18" x14ac:dyDescent="0.3">
      <c r="A842" s="32">
        <v>43749</v>
      </c>
      <c r="B842" s="33" t="s">
        <v>60</v>
      </c>
      <c r="C842" s="34">
        <v>1810</v>
      </c>
      <c r="D842" s="33">
        <v>80</v>
      </c>
      <c r="E842" s="35">
        <v>280.64999999999998</v>
      </c>
      <c r="F842" s="35">
        <v>2025</v>
      </c>
      <c r="G842" s="34">
        <v>280.64999999999998</v>
      </c>
      <c r="H842" s="34">
        <v>215</v>
      </c>
      <c r="I842" s="34">
        <v>2305.65</v>
      </c>
      <c r="J842" s="34">
        <v>388.56</v>
      </c>
      <c r="K842" s="34">
        <v>2694.21</v>
      </c>
      <c r="L842" s="33" t="s">
        <v>14</v>
      </c>
      <c r="M842" s="34">
        <f t="shared" si="98"/>
        <v>20.494666666666667</v>
      </c>
      <c r="N842" s="27">
        <v>112.5</v>
      </c>
      <c r="O842" s="34">
        <f t="shared" si="102"/>
        <v>333.03833333333336</v>
      </c>
      <c r="P842" s="35">
        <f t="shared" si="100"/>
        <v>66.61</v>
      </c>
      <c r="Q842" s="40">
        <f t="shared" si="104"/>
        <v>666.07666666666671</v>
      </c>
      <c r="R842" s="35"/>
    </row>
    <row r="843" spans="1:18" x14ac:dyDescent="0.3">
      <c r="A843" s="32">
        <v>43763</v>
      </c>
      <c r="B843" s="33" t="s">
        <v>60</v>
      </c>
      <c r="C843" s="34">
        <v>1710</v>
      </c>
      <c r="D843" s="33">
        <v>80</v>
      </c>
      <c r="E843" s="35">
        <v>211.96</v>
      </c>
      <c r="F843" s="35">
        <v>1710</v>
      </c>
      <c r="G843" s="34">
        <v>211.96</v>
      </c>
      <c r="H843" s="34">
        <v>0</v>
      </c>
      <c r="I843" s="34">
        <v>1921.96</v>
      </c>
      <c r="J843" s="34">
        <v>349.72</v>
      </c>
      <c r="K843" s="34">
        <v>2271.6799999999998</v>
      </c>
      <c r="L843" s="33" t="s">
        <v>14</v>
      </c>
      <c r="M843" s="34">
        <f t="shared" si="98"/>
        <v>20.231157894736842</v>
      </c>
      <c r="N843" s="27">
        <v>95</v>
      </c>
      <c r="O843" s="34">
        <f t="shared" si="102"/>
        <v>151.73368421052632</v>
      </c>
      <c r="P843" s="35">
        <f t="shared" si="100"/>
        <v>30.35</v>
      </c>
      <c r="Q843" s="40">
        <f t="shared" si="104"/>
        <v>303.46736842105264</v>
      </c>
      <c r="R843" s="35"/>
    </row>
    <row r="844" spans="1:18" x14ac:dyDescent="0.3">
      <c r="A844" s="32">
        <v>43777</v>
      </c>
      <c r="B844" s="33" t="s">
        <v>60</v>
      </c>
      <c r="C844" s="34">
        <v>1840</v>
      </c>
      <c r="D844" s="33">
        <v>80</v>
      </c>
      <c r="E844" s="35">
        <v>251.23</v>
      </c>
      <c r="F844" s="35">
        <v>1890</v>
      </c>
      <c r="G844" s="34">
        <v>251.23</v>
      </c>
      <c r="H844" s="34">
        <v>50</v>
      </c>
      <c r="I844" s="34">
        <v>2141.23</v>
      </c>
      <c r="J844" s="34">
        <v>359.47</v>
      </c>
      <c r="K844" s="34">
        <v>2500.6999999999998</v>
      </c>
      <c r="L844" s="33" t="s">
        <v>14</v>
      </c>
      <c r="M844" s="34">
        <f t="shared" si="98"/>
        <v>20.392666666666667</v>
      </c>
      <c r="N844" s="27">
        <v>105</v>
      </c>
      <c r="O844" s="34">
        <f t="shared" si="102"/>
        <v>254.90833333333333</v>
      </c>
      <c r="P844" s="35">
        <f t="shared" si="100"/>
        <v>50.98</v>
      </c>
      <c r="Q844" s="40">
        <f t="shared" si="104"/>
        <v>509.81666666666666</v>
      </c>
      <c r="R844" s="35"/>
    </row>
    <row r="845" spans="1:18" x14ac:dyDescent="0.3">
      <c r="A845" s="32">
        <v>43791</v>
      </c>
      <c r="B845" s="33" t="s">
        <v>60</v>
      </c>
      <c r="C845" s="34">
        <v>1959</v>
      </c>
      <c r="D845" s="33">
        <v>80</v>
      </c>
      <c r="E845" s="35">
        <v>266.26</v>
      </c>
      <c r="F845" s="35">
        <v>1959</v>
      </c>
      <c r="G845" s="34">
        <v>266.26</v>
      </c>
      <c r="H845" s="34">
        <v>0</v>
      </c>
      <c r="I845" s="34">
        <v>2225.2600000000002</v>
      </c>
      <c r="J845" s="34">
        <v>367.26</v>
      </c>
      <c r="K845" s="34">
        <v>2592.52</v>
      </c>
      <c r="L845" s="33" t="s">
        <v>14</v>
      </c>
      <c r="M845" s="34">
        <f t="shared" si="98"/>
        <v>22.141890547263685</v>
      </c>
      <c r="N845" s="27">
        <v>100.5</v>
      </c>
      <c r="O845" s="34">
        <f t="shared" si="102"/>
        <v>226.95437810945276</v>
      </c>
      <c r="P845" s="35">
        <f t="shared" si="100"/>
        <v>43.12</v>
      </c>
      <c r="Q845" s="40">
        <f t="shared" si="104"/>
        <v>453.90875621890552</v>
      </c>
      <c r="R845" s="35"/>
    </row>
    <row r="846" spans="1:18" x14ac:dyDescent="0.3">
      <c r="A846" s="32">
        <v>43805</v>
      </c>
      <c r="B846" s="33" t="s">
        <v>60</v>
      </c>
      <c r="C846" s="34">
        <v>1463</v>
      </c>
      <c r="D846" s="36">
        <v>49.5</v>
      </c>
      <c r="E846" s="35">
        <v>171.69</v>
      </c>
      <c r="F846" s="35">
        <v>1463</v>
      </c>
      <c r="G846" s="34">
        <v>171.69</v>
      </c>
      <c r="H846" s="34">
        <v>0</v>
      </c>
      <c r="I846" s="34">
        <v>1634.69</v>
      </c>
      <c r="J846" s="34">
        <v>312.42</v>
      </c>
      <c r="K846" s="34">
        <v>1947.11</v>
      </c>
      <c r="L846" s="33" t="s">
        <v>14</v>
      </c>
      <c r="M846" s="34">
        <f t="shared" si="98"/>
        <v>21.229740259740261</v>
      </c>
      <c r="N846" s="27">
        <v>77</v>
      </c>
      <c r="O846" s="38">
        <f>(M846*0.5)*9.5</f>
        <v>100.84126623376623</v>
      </c>
      <c r="P846" s="35">
        <f t="shared" si="100"/>
        <v>19.16</v>
      </c>
      <c r="Q846" s="40">
        <f t="shared" si="104"/>
        <v>201.68253246753247</v>
      </c>
      <c r="R846" s="35"/>
    </row>
    <row r="847" spans="1:18" x14ac:dyDescent="0.3">
      <c r="A847" s="32">
        <v>43816</v>
      </c>
      <c r="B847" s="33" t="s">
        <v>60</v>
      </c>
      <c r="C847" s="34">
        <v>1871</v>
      </c>
      <c r="D847" s="33">
        <v>80</v>
      </c>
      <c r="E847" s="35">
        <v>247.07</v>
      </c>
      <c r="F847" s="35">
        <v>1871</v>
      </c>
      <c r="G847" s="34">
        <v>247.07</v>
      </c>
      <c r="H847" s="34">
        <v>0</v>
      </c>
      <c r="I847" s="34">
        <v>2118.0700000000002</v>
      </c>
      <c r="J847" s="34">
        <v>357.3</v>
      </c>
      <c r="K847" s="34">
        <v>2475.37</v>
      </c>
      <c r="L847" s="33">
        <v>100191</v>
      </c>
      <c r="M847" s="34">
        <f t="shared" si="98"/>
        <v>21.503248730964469</v>
      </c>
      <c r="N847" s="27">
        <v>98.5</v>
      </c>
      <c r="O847" s="34">
        <f t="shared" si="102"/>
        <v>198.90505076142134</v>
      </c>
      <c r="P847" s="35">
        <f t="shared" si="100"/>
        <v>35.799999999999997</v>
      </c>
      <c r="Q847" s="40">
        <f t="shared" si="104"/>
        <v>397.81010152284267</v>
      </c>
      <c r="R847" s="35"/>
    </row>
    <row r="848" spans="1:18" x14ac:dyDescent="0.3">
      <c r="A848" s="29">
        <v>43833</v>
      </c>
      <c r="B848" s="33" t="s">
        <v>60</v>
      </c>
      <c r="C848" s="34">
        <v>684</v>
      </c>
      <c r="D848" s="30">
        <v>36</v>
      </c>
      <c r="E848" s="35">
        <v>79.45</v>
      </c>
      <c r="F848" s="35">
        <v>684</v>
      </c>
      <c r="G848" s="34">
        <v>79.45</v>
      </c>
      <c r="H848" s="34">
        <v>0</v>
      </c>
      <c r="I848" s="34">
        <v>763.45</v>
      </c>
      <c r="J848" s="34">
        <v>147.74</v>
      </c>
      <c r="K848" s="34">
        <v>911.19</v>
      </c>
      <c r="L848" s="33" t="s">
        <v>14</v>
      </c>
      <c r="M848" s="34">
        <f t="shared" si="98"/>
        <v>21.206944444444446</v>
      </c>
      <c r="N848" s="27">
        <v>36</v>
      </c>
      <c r="O848" s="34">
        <v>0</v>
      </c>
      <c r="P848" s="35">
        <f t="shared" si="100"/>
        <v>0</v>
      </c>
      <c r="Q848" s="40">
        <f t="shared" si="104"/>
        <v>0</v>
      </c>
      <c r="R848" s="35"/>
    </row>
    <row r="849" spans="1:18" x14ac:dyDescent="0.3">
      <c r="A849" s="32">
        <v>43861</v>
      </c>
      <c r="B849" s="33" t="s">
        <v>60</v>
      </c>
      <c r="C849" s="34">
        <v>1508</v>
      </c>
      <c r="D849" s="36">
        <v>52.5</v>
      </c>
      <c r="E849" s="35"/>
      <c r="F849" s="35">
        <v>1520</v>
      </c>
      <c r="G849" s="34">
        <v>162.62</v>
      </c>
      <c r="H849" s="34">
        <v>12</v>
      </c>
      <c r="I849" s="34">
        <v>1682.62</v>
      </c>
      <c r="J849" s="34">
        <v>310.86</v>
      </c>
      <c r="K849" s="34">
        <v>1993.48</v>
      </c>
      <c r="L849" s="33" t="s">
        <v>14</v>
      </c>
      <c r="M849" s="34">
        <f t="shared" si="98"/>
        <v>20</v>
      </c>
      <c r="N849" s="27">
        <v>76</v>
      </c>
      <c r="O849" s="38">
        <f>(M849*0.5)*12.5</f>
        <v>125</v>
      </c>
      <c r="P849" s="35">
        <f t="shared" si="100"/>
        <v>21.25</v>
      </c>
      <c r="Q849" s="40">
        <f t="shared" si="104"/>
        <v>250</v>
      </c>
      <c r="R849" s="35"/>
    </row>
    <row r="850" spans="1:18" x14ac:dyDescent="0.3">
      <c r="A850" s="32">
        <v>43875</v>
      </c>
      <c r="B850" s="33" t="s">
        <v>60</v>
      </c>
      <c r="C850" s="34">
        <v>1885</v>
      </c>
      <c r="D850" s="33">
        <v>80</v>
      </c>
      <c r="E850" s="35"/>
      <c r="F850" s="35">
        <v>1920</v>
      </c>
      <c r="G850" s="34">
        <v>199.33</v>
      </c>
      <c r="H850" s="34">
        <v>35</v>
      </c>
      <c r="I850" s="34">
        <v>2119.33</v>
      </c>
      <c r="J850" s="34">
        <v>302.31</v>
      </c>
      <c r="K850" s="34">
        <v>2421.64</v>
      </c>
      <c r="L850" s="33" t="s">
        <v>14</v>
      </c>
      <c r="M850" s="34">
        <f t="shared" si="98"/>
        <v>20</v>
      </c>
      <c r="N850" s="27">
        <v>96</v>
      </c>
      <c r="O850" s="34">
        <f t="shared" si="102"/>
        <v>160</v>
      </c>
      <c r="P850" s="35">
        <f t="shared" si="100"/>
        <v>25.6</v>
      </c>
      <c r="Q850" s="40">
        <f t="shared" si="104"/>
        <v>320</v>
      </c>
      <c r="R850" s="35"/>
    </row>
    <row r="851" spans="1:18" x14ac:dyDescent="0.3">
      <c r="A851" s="32">
        <v>43889</v>
      </c>
      <c r="B851" s="33" t="s">
        <v>60</v>
      </c>
      <c r="C851" s="34">
        <v>1960</v>
      </c>
      <c r="D851" s="33">
        <v>80</v>
      </c>
      <c r="E851" s="35"/>
      <c r="F851" s="35">
        <v>1960</v>
      </c>
      <c r="G851" s="34">
        <v>206.49</v>
      </c>
      <c r="H851" s="34">
        <v>0</v>
      </c>
      <c r="I851" s="34">
        <v>2166.4899999999998</v>
      </c>
      <c r="J851" s="34">
        <v>306.26</v>
      </c>
      <c r="K851" s="34">
        <v>2472.75</v>
      </c>
      <c r="L851" s="33" t="s">
        <v>14</v>
      </c>
      <c r="M851" s="34">
        <f t="shared" si="98"/>
        <v>20</v>
      </c>
      <c r="N851" s="27">
        <v>98</v>
      </c>
      <c r="O851" s="34">
        <f t="shared" si="102"/>
        <v>180</v>
      </c>
      <c r="P851" s="35">
        <f t="shared" si="100"/>
        <v>28.8</v>
      </c>
      <c r="Q851" s="40">
        <f t="shared" si="104"/>
        <v>360</v>
      </c>
      <c r="R851" s="35"/>
    </row>
    <row r="852" spans="1:18" x14ac:dyDescent="0.3">
      <c r="A852" s="32">
        <v>43903</v>
      </c>
      <c r="B852" s="33" t="s">
        <v>60</v>
      </c>
      <c r="C852" s="34">
        <v>1120</v>
      </c>
      <c r="D852" s="36">
        <v>41.5</v>
      </c>
      <c r="E852" s="35"/>
      <c r="F852" s="35">
        <v>1120</v>
      </c>
      <c r="G852" s="34">
        <v>122.18</v>
      </c>
      <c r="H852" s="34">
        <v>0</v>
      </c>
      <c r="I852" s="34">
        <v>1242.18</v>
      </c>
      <c r="J852" s="34">
        <v>221.48</v>
      </c>
      <c r="K852" s="34">
        <v>1463.66</v>
      </c>
      <c r="L852" s="33" t="s">
        <v>14</v>
      </c>
      <c r="M852" s="34">
        <f t="shared" si="98"/>
        <v>18.983050847457626</v>
      </c>
      <c r="N852" s="27">
        <v>59</v>
      </c>
      <c r="O852" s="38">
        <f>(M852*0.5)*1.5</f>
        <v>14.23728813559322</v>
      </c>
      <c r="P852" s="35">
        <f t="shared" si="100"/>
        <v>2.14</v>
      </c>
      <c r="Q852" s="40">
        <f t="shared" si="104"/>
        <v>28.474576271186439</v>
      </c>
      <c r="R852" s="35"/>
    </row>
    <row r="853" spans="1:18" x14ac:dyDescent="0.3">
      <c r="A853" s="32">
        <v>43917</v>
      </c>
      <c r="B853" s="33" t="s">
        <v>60</v>
      </c>
      <c r="C853" s="34">
        <v>1731.29</v>
      </c>
      <c r="D853" s="36">
        <v>45</v>
      </c>
      <c r="E853" s="35"/>
      <c r="F853" s="49">
        <v>1935</v>
      </c>
      <c r="G853" s="34">
        <v>203.71</v>
      </c>
      <c r="H853" s="34">
        <v>0</v>
      </c>
      <c r="I853" s="34">
        <v>1935</v>
      </c>
      <c r="J853" s="34">
        <v>297.81</v>
      </c>
      <c r="K853" s="34">
        <v>2232.81</v>
      </c>
      <c r="L853" s="33" t="s">
        <v>14</v>
      </c>
      <c r="M853" s="34">
        <f t="shared" si="98"/>
        <v>23.035714285714285</v>
      </c>
      <c r="N853" s="27">
        <v>84</v>
      </c>
      <c r="O853" s="38">
        <f>(M853*0.5)*1</f>
        <v>11.517857142857142</v>
      </c>
      <c r="P853" s="35">
        <f t="shared" si="100"/>
        <v>1.73</v>
      </c>
      <c r="Q853" s="40">
        <f t="shared" si="104"/>
        <v>23.035714285714285</v>
      </c>
      <c r="R853" s="35"/>
    </row>
    <row r="854" spans="1:18" x14ac:dyDescent="0.3">
      <c r="A854" s="32">
        <v>43931</v>
      </c>
      <c r="B854" s="33" t="s">
        <v>60</v>
      </c>
      <c r="C854" s="34">
        <v>812.03</v>
      </c>
      <c r="D854" s="30">
        <v>24</v>
      </c>
      <c r="E854" s="35"/>
      <c r="F854" s="35">
        <v>900</v>
      </c>
      <c r="G854" s="34">
        <v>87.97</v>
      </c>
      <c r="H854" s="34">
        <v>0</v>
      </c>
      <c r="I854" s="34">
        <v>900</v>
      </c>
      <c r="J854" s="34">
        <v>139.82</v>
      </c>
      <c r="K854" s="34">
        <v>1039.82</v>
      </c>
      <c r="L854" s="33" t="s">
        <v>14</v>
      </c>
      <c r="M854" s="34">
        <f t="shared" ref="M854:M913" si="105">(E854+F854)/N854</f>
        <v>37.5</v>
      </c>
      <c r="N854" s="27">
        <v>24</v>
      </c>
      <c r="O854" s="34">
        <v>0</v>
      </c>
      <c r="P854" s="35">
        <f t="shared" si="100"/>
        <v>0</v>
      </c>
      <c r="Q854" s="40">
        <f t="shared" si="104"/>
        <v>0</v>
      </c>
      <c r="R854" s="35"/>
    </row>
    <row r="855" spans="1:18" hidden="1" x14ac:dyDescent="0.3">
      <c r="A855" s="37" t="s">
        <v>77</v>
      </c>
      <c r="B855" s="33" t="s">
        <v>60</v>
      </c>
      <c r="C855" s="34">
        <v>500.02</v>
      </c>
      <c r="D855" s="33">
        <v>24.63</v>
      </c>
      <c r="E855" s="33"/>
      <c r="F855" s="33">
        <v>554.17999999999995</v>
      </c>
      <c r="G855" s="34">
        <v>54.16</v>
      </c>
      <c r="H855" s="34">
        <v>0</v>
      </c>
      <c r="I855" s="34">
        <v>554.17999999999995</v>
      </c>
      <c r="J855" s="34">
        <v>88.09</v>
      </c>
      <c r="K855" s="34">
        <v>642.27</v>
      </c>
      <c r="L855" s="33" t="s">
        <v>14</v>
      </c>
      <c r="M855" s="34" t="e">
        <f t="shared" si="105"/>
        <v>#DIV/0!</v>
      </c>
      <c r="N855" s="27"/>
      <c r="O855" s="34" t="e">
        <f t="shared" si="102"/>
        <v>#DIV/0!</v>
      </c>
      <c r="P855" s="35" t="e">
        <f t="shared" si="100"/>
        <v>#VALUE!</v>
      </c>
      <c r="Q855" s="34" t="e">
        <f t="shared" si="103"/>
        <v>#DIV/0!</v>
      </c>
      <c r="R855" s="35"/>
    </row>
    <row r="856" spans="1:18" hidden="1" x14ac:dyDescent="0.3">
      <c r="A856" s="37" t="s">
        <v>77</v>
      </c>
      <c r="B856" s="33" t="s">
        <v>60</v>
      </c>
      <c r="C856" s="34">
        <v>700.08</v>
      </c>
      <c r="D856" s="33">
        <v>34.479999999999997</v>
      </c>
      <c r="E856" s="33"/>
      <c r="F856" s="33">
        <v>775.91</v>
      </c>
      <c r="G856" s="34">
        <v>75.83</v>
      </c>
      <c r="H856" s="34">
        <v>0</v>
      </c>
      <c r="I856" s="34">
        <v>775.91</v>
      </c>
      <c r="J856" s="34">
        <v>123.34</v>
      </c>
      <c r="K856" s="34">
        <v>899.25</v>
      </c>
      <c r="L856" s="33" t="s">
        <v>14</v>
      </c>
      <c r="M856" s="34" t="e">
        <f t="shared" si="105"/>
        <v>#DIV/0!</v>
      </c>
      <c r="N856" s="27"/>
      <c r="O856" s="34" t="e">
        <f t="shared" si="102"/>
        <v>#DIV/0!</v>
      </c>
      <c r="P856" s="35" t="e">
        <f t="shared" si="100"/>
        <v>#VALUE!</v>
      </c>
      <c r="Q856" s="34" t="e">
        <f t="shared" si="103"/>
        <v>#DIV/0!</v>
      </c>
      <c r="R856" s="35"/>
    </row>
    <row r="857" spans="1:18" x14ac:dyDescent="0.3">
      <c r="A857" s="32">
        <v>43973</v>
      </c>
      <c r="B857" s="33" t="s">
        <v>60</v>
      </c>
      <c r="C857" s="34">
        <v>812.03</v>
      </c>
      <c r="D857" s="30">
        <v>40</v>
      </c>
      <c r="E857" s="35"/>
      <c r="F857" s="35">
        <v>900</v>
      </c>
      <c r="G857" s="34">
        <v>87.97</v>
      </c>
      <c r="H857" s="34">
        <v>0</v>
      </c>
      <c r="I857" s="34">
        <v>900</v>
      </c>
      <c r="J857" s="34">
        <v>143.06</v>
      </c>
      <c r="K857" s="34">
        <v>1043.06</v>
      </c>
      <c r="L857" s="33" t="s">
        <v>14</v>
      </c>
      <c r="M857" s="34">
        <f t="shared" si="105"/>
        <v>22.5</v>
      </c>
      <c r="N857" s="27">
        <v>40</v>
      </c>
      <c r="O857" s="34">
        <v>0</v>
      </c>
      <c r="P857" s="35">
        <f t="shared" si="100"/>
        <v>0</v>
      </c>
      <c r="Q857" s="40">
        <f t="shared" ref="Q857:Q861" si="106">O857*2</f>
        <v>0</v>
      </c>
      <c r="R857" s="35"/>
    </row>
    <row r="858" spans="1:18" x14ac:dyDescent="0.3">
      <c r="A858" s="32">
        <v>43987</v>
      </c>
      <c r="B858" s="33" t="s">
        <v>60</v>
      </c>
      <c r="C858" s="34">
        <v>1471.8</v>
      </c>
      <c r="D858" s="36">
        <v>40.5</v>
      </c>
      <c r="E858" s="35"/>
      <c r="F858" s="35">
        <v>1631.25</v>
      </c>
      <c r="G858" s="34">
        <v>159.44999999999999</v>
      </c>
      <c r="H858" s="34">
        <v>0</v>
      </c>
      <c r="I858" s="34">
        <v>1631.25</v>
      </c>
      <c r="J858" s="34">
        <v>259.31</v>
      </c>
      <c r="K858" s="34">
        <v>1890.56</v>
      </c>
      <c r="L858" s="33" t="s">
        <v>14</v>
      </c>
      <c r="M858" s="34">
        <f t="shared" si="105"/>
        <v>22.5</v>
      </c>
      <c r="N858" s="27">
        <v>72.5</v>
      </c>
      <c r="O858" s="38">
        <f>(M858*0.5)*0.5</f>
        <v>5.625</v>
      </c>
      <c r="P858" s="35">
        <f t="shared" si="100"/>
        <v>0.73</v>
      </c>
      <c r="Q858" s="40">
        <f t="shared" si="106"/>
        <v>11.25</v>
      </c>
      <c r="R858" s="35"/>
    </row>
    <row r="859" spans="1:18" x14ac:dyDescent="0.3">
      <c r="A859" s="29">
        <v>43995</v>
      </c>
      <c r="B859" s="33" t="s">
        <v>60</v>
      </c>
      <c r="C859" s="34">
        <v>1749.81</v>
      </c>
      <c r="D859" s="30">
        <v>80</v>
      </c>
      <c r="E859" s="35"/>
      <c r="F859" s="49">
        <v>2172</v>
      </c>
      <c r="G859" s="34"/>
      <c r="H859" s="34"/>
      <c r="I859" s="34"/>
      <c r="J859" s="34"/>
      <c r="K859" s="34"/>
      <c r="L859" s="33"/>
      <c r="M859" s="38">
        <v>21.9</v>
      </c>
      <c r="N859" s="27">
        <v>80</v>
      </c>
      <c r="O859" s="42">
        <v>0</v>
      </c>
      <c r="P859" s="35">
        <f t="shared" si="100"/>
        <v>0</v>
      </c>
      <c r="Q859" s="40">
        <f t="shared" si="106"/>
        <v>0</v>
      </c>
      <c r="R859" s="35"/>
    </row>
    <row r="860" spans="1:18" x14ac:dyDescent="0.3">
      <c r="A860" s="29">
        <v>44009</v>
      </c>
      <c r="B860" s="33" t="s">
        <v>60</v>
      </c>
      <c r="C860" s="34">
        <v>1973.39</v>
      </c>
      <c r="D860" s="30">
        <v>94</v>
      </c>
      <c r="E860" s="35"/>
      <c r="F860" s="35">
        <v>2235</v>
      </c>
      <c r="G860" s="34"/>
      <c r="H860" s="34"/>
      <c r="I860" s="34"/>
      <c r="J860" s="34"/>
      <c r="K860" s="34"/>
      <c r="L860" s="33"/>
      <c r="M860" s="38">
        <v>21.9</v>
      </c>
      <c r="N860" s="27">
        <v>94</v>
      </c>
      <c r="O860" s="42">
        <v>0</v>
      </c>
      <c r="P860" s="35">
        <f t="shared" si="100"/>
        <v>0</v>
      </c>
      <c r="Q860" s="40">
        <f t="shared" si="106"/>
        <v>0</v>
      </c>
      <c r="R860" s="35"/>
    </row>
    <row r="861" spans="1:18" x14ac:dyDescent="0.3">
      <c r="A861" s="29">
        <v>44023</v>
      </c>
      <c r="B861" s="33" t="s">
        <v>60</v>
      </c>
      <c r="C861" s="34">
        <v>1986.82</v>
      </c>
      <c r="D861" s="30">
        <v>96</v>
      </c>
      <c r="E861" s="35"/>
      <c r="F861" s="35">
        <v>2496</v>
      </c>
      <c r="G861" s="34"/>
      <c r="H861" s="34"/>
      <c r="I861" s="34"/>
      <c r="J861" s="34"/>
      <c r="K861" s="34"/>
      <c r="L861" s="33"/>
      <c r="M861" s="38">
        <v>21.9</v>
      </c>
      <c r="N861" s="27">
        <v>96</v>
      </c>
      <c r="O861" s="42">
        <v>0</v>
      </c>
      <c r="P861" s="35">
        <f t="shared" si="100"/>
        <v>0</v>
      </c>
      <c r="Q861" s="40">
        <f t="shared" si="106"/>
        <v>0</v>
      </c>
      <c r="R861" s="35"/>
    </row>
    <row r="862" spans="1:18" hidden="1" x14ac:dyDescent="0.3">
      <c r="A862" s="37" t="s">
        <v>77</v>
      </c>
      <c r="B862" s="33" t="s">
        <v>61</v>
      </c>
      <c r="C862" s="34">
        <v>2798</v>
      </c>
      <c r="D862" s="33">
        <v>80</v>
      </c>
      <c r="E862" s="33">
        <v>275.58999999999997</v>
      </c>
      <c r="F862" s="33">
        <v>2800</v>
      </c>
      <c r="G862" s="34">
        <v>277.79000000000002</v>
      </c>
      <c r="H862" s="34">
        <v>0</v>
      </c>
      <c r="I862" s="34">
        <v>3075.79</v>
      </c>
      <c r="J862" s="34">
        <v>469.97</v>
      </c>
      <c r="K862" s="34">
        <v>3545.76</v>
      </c>
      <c r="L862" s="33" t="s">
        <v>14</v>
      </c>
      <c r="M862" s="34" t="e">
        <f t="shared" si="105"/>
        <v>#DIV/0!</v>
      </c>
      <c r="N862" s="27"/>
      <c r="O862" s="34" t="e">
        <f t="shared" si="102"/>
        <v>#DIV/0!</v>
      </c>
      <c r="P862" s="35" t="e">
        <f t="shared" si="100"/>
        <v>#VALUE!</v>
      </c>
      <c r="Q862" s="34" t="e">
        <f t="shared" si="103"/>
        <v>#DIV/0!</v>
      </c>
      <c r="R862" s="35">
        <v>409.55</v>
      </c>
    </row>
    <row r="863" spans="1:18" hidden="1" x14ac:dyDescent="0.3">
      <c r="A863" s="37" t="s">
        <v>77</v>
      </c>
      <c r="B863" s="33" t="s">
        <v>61</v>
      </c>
      <c r="C863" s="34">
        <v>1610</v>
      </c>
      <c r="D863" s="33">
        <v>70</v>
      </c>
      <c r="E863" s="33">
        <v>75.430000000000007</v>
      </c>
      <c r="F863" s="33">
        <v>1890</v>
      </c>
      <c r="G863" s="34">
        <v>355.43</v>
      </c>
      <c r="H863" s="34">
        <v>0</v>
      </c>
      <c r="I863" s="34">
        <v>1965.43</v>
      </c>
      <c r="J863" s="34">
        <v>338.2</v>
      </c>
      <c r="K863" s="34">
        <v>2303.63</v>
      </c>
      <c r="L863" s="33" t="s">
        <v>14</v>
      </c>
      <c r="M863" s="34" t="e">
        <f t="shared" si="105"/>
        <v>#DIV/0!</v>
      </c>
      <c r="N863" s="27"/>
      <c r="O863" s="34" t="e">
        <f t="shared" si="102"/>
        <v>#DIV/0!</v>
      </c>
      <c r="P863" s="35" t="e">
        <f t="shared" si="100"/>
        <v>#VALUE!</v>
      </c>
      <c r="Q863" s="34" t="e">
        <f t="shared" si="103"/>
        <v>#DIV/0!</v>
      </c>
      <c r="R863" s="35"/>
    </row>
    <row r="864" spans="1:18" hidden="1" x14ac:dyDescent="0.3">
      <c r="A864" s="37" t="s">
        <v>77</v>
      </c>
      <c r="B864" s="33" t="s">
        <v>61</v>
      </c>
      <c r="C864" s="34">
        <v>2599</v>
      </c>
      <c r="D864" s="33">
        <v>80</v>
      </c>
      <c r="E864" s="33">
        <v>402.9</v>
      </c>
      <c r="F864" s="33">
        <v>2800</v>
      </c>
      <c r="G864" s="34">
        <v>603.9</v>
      </c>
      <c r="H864" s="34">
        <v>0</v>
      </c>
      <c r="I864" s="34">
        <v>3202.9</v>
      </c>
      <c r="J864" s="34">
        <v>475.28</v>
      </c>
      <c r="K864" s="34">
        <v>3678.18</v>
      </c>
      <c r="L864" s="33" t="s">
        <v>14</v>
      </c>
      <c r="M864" s="34" t="e">
        <f t="shared" si="105"/>
        <v>#DIV/0!</v>
      </c>
      <c r="N864" s="27"/>
      <c r="O864" s="34" t="e">
        <f t="shared" si="102"/>
        <v>#DIV/0!</v>
      </c>
      <c r="P864" s="35" t="e">
        <f t="shared" si="100"/>
        <v>#VALUE!</v>
      </c>
      <c r="Q864" s="34" t="e">
        <f t="shared" si="103"/>
        <v>#DIV/0!</v>
      </c>
      <c r="R864" s="35"/>
    </row>
    <row r="865" spans="1:18" hidden="1" x14ac:dyDescent="0.3">
      <c r="A865" s="37" t="s">
        <v>77</v>
      </c>
      <c r="B865" s="33" t="s">
        <v>61</v>
      </c>
      <c r="C865" s="34">
        <v>1058</v>
      </c>
      <c r="D865" s="33">
        <v>46.5</v>
      </c>
      <c r="E865" s="33">
        <v>102.61</v>
      </c>
      <c r="F865" s="33">
        <v>1162.5</v>
      </c>
      <c r="G865" s="34">
        <v>207.11</v>
      </c>
      <c r="H865" s="34">
        <v>0</v>
      </c>
      <c r="I865" s="34">
        <v>1265.1099999999999</v>
      </c>
      <c r="J865" s="34">
        <v>220.58</v>
      </c>
      <c r="K865" s="34">
        <v>1485.69</v>
      </c>
      <c r="L865" s="33" t="s">
        <v>14</v>
      </c>
      <c r="M865" s="34" t="e">
        <f t="shared" si="105"/>
        <v>#DIV/0!</v>
      </c>
      <c r="N865" s="27"/>
      <c r="O865" s="34" t="e">
        <f t="shared" si="102"/>
        <v>#DIV/0!</v>
      </c>
      <c r="P865" s="35" t="e">
        <f t="shared" si="100"/>
        <v>#VALUE!</v>
      </c>
      <c r="Q865" s="34" t="e">
        <f t="shared" si="103"/>
        <v>#DIV/0!</v>
      </c>
      <c r="R865" s="35"/>
    </row>
    <row r="866" spans="1:18" hidden="1" x14ac:dyDescent="0.3">
      <c r="A866" s="37" t="s">
        <v>77</v>
      </c>
      <c r="B866" s="33" t="s">
        <v>61</v>
      </c>
      <c r="C866" s="34">
        <v>1776.42</v>
      </c>
      <c r="D866" s="33">
        <v>80</v>
      </c>
      <c r="E866" s="33">
        <v>55</v>
      </c>
      <c r="F866" s="33">
        <v>1920</v>
      </c>
      <c r="G866" s="34">
        <v>198.58</v>
      </c>
      <c r="H866" s="34">
        <v>0</v>
      </c>
      <c r="I866" s="34">
        <v>1975</v>
      </c>
      <c r="J866" s="34">
        <v>359.23</v>
      </c>
      <c r="K866" s="34">
        <v>2334.23</v>
      </c>
      <c r="L866" s="33" t="s">
        <v>14</v>
      </c>
      <c r="M866" s="34" t="e">
        <f t="shared" si="105"/>
        <v>#DIV/0!</v>
      </c>
      <c r="N866" s="27"/>
      <c r="O866" s="34" t="e">
        <f t="shared" si="102"/>
        <v>#DIV/0!</v>
      </c>
      <c r="P866" s="35" t="e">
        <f t="shared" si="100"/>
        <v>#VALUE!</v>
      </c>
      <c r="Q866" s="34" t="e">
        <f t="shared" si="103"/>
        <v>#DIV/0!</v>
      </c>
      <c r="R866" s="35"/>
    </row>
    <row r="867" spans="1:18" hidden="1" x14ac:dyDescent="0.3">
      <c r="A867" s="37" t="s">
        <v>77</v>
      </c>
      <c r="B867" s="33" t="s">
        <v>61</v>
      </c>
      <c r="C867" s="34">
        <v>198.58</v>
      </c>
      <c r="D867" s="33">
        <v>0</v>
      </c>
      <c r="E867" s="33">
        <v>198.58</v>
      </c>
      <c r="F867" s="33"/>
      <c r="G867" s="34">
        <v>17.05</v>
      </c>
      <c r="H867" s="34">
        <v>0</v>
      </c>
      <c r="I867" s="34">
        <v>215.63</v>
      </c>
      <c r="J867" s="34">
        <v>21.69</v>
      </c>
      <c r="K867" s="34">
        <v>237.32</v>
      </c>
      <c r="L867" s="33" t="s">
        <v>14</v>
      </c>
      <c r="M867" s="34" t="e">
        <f t="shared" si="105"/>
        <v>#DIV/0!</v>
      </c>
      <c r="N867" s="27"/>
      <c r="O867" s="34" t="e">
        <f t="shared" si="102"/>
        <v>#DIV/0!</v>
      </c>
      <c r="P867" s="35" t="e">
        <f t="shared" si="100"/>
        <v>#VALUE!</v>
      </c>
      <c r="Q867" s="34" t="e">
        <f t="shared" si="103"/>
        <v>#DIV/0!</v>
      </c>
      <c r="R867" s="35"/>
    </row>
    <row r="868" spans="1:18" hidden="1" x14ac:dyDescent="0.3">
      <c r="A868" s="37" t="s">
        <v>77</v>
      </c>
      <c r="B868" s="33" t="s">
        <v>61</v>
      </c>
      <c r="C868" s="34">
        <v>3000</v>
      </c>
      <c r="D868" s="33">
        <v>80</v>
      </c>
      <c r="E868" s="33">
        <v>943.48</v>
      </c>
      <c r="F868" s="33">
        <v>2800</v>
      </c>
      <c r="G868" s="34">
        <v>743.48</v>
      </c>
      <c r="H868" s="34">
        <v>0</v>
      </c>
      <c r="I868" s="34">
        <v>3743.48</v>
      </c>
      <c r="J868" s="34">
        <v>535.94000000000005</v>
      </c>
      <c r="K868" s="34">
        <v>4279.42</v>
      </c>
      <c r="L868" s="33" t="s">
        <v>14</v>
      </c>
      <c r="M868" s="34" t="e">
        <f t="shared" si="105"/>
        <v>#DIV/0!</v>
      </c>
      <c r="N868" s="27"/>
      <c r="O868" s="34" t="e">
        <f t="shared" si="102"/>
        <v>#DIV/0!</v>
      </c>
      <c r="P868" s="35" t="e">
        <f t="shared" ref="P868:P913" si="107">ROUND(((ROUNDDOWN(($W$1-A868)/30,0))/100)*O868,2)</f>
        <v>#VALUE!</v>
      </c>
      <c r="Q868" s="34" t="e">
        <f t="shared" si="103"/>
        <v>#DIV/0!</v>
      </c>
      <c r="R868" s="35"/>
    </row>
    <row r="869" spans="1:18" hidden="1" x14ac:dyDescent="0.3">
      <c r="A869" s="37" t="s">
        <v>77</v>
      </c>
      <c r="B869" s="33" t="s">
        <v>61</v>
      </c>
      <c r="C869" s="34">
        <v>2537</v>
      </c>
      <c r="D869" s="33">
        <v>80</v>
      </c>
      <c r="E869" s="33">
        <v>263.83999999999997</v>
      </c>
      <c r="F869" s="33">
        <v>2537</v>
      </c>
      <c r="G869" s="34">
        <v>263.83999999999997</v>
      </c>
      <c r="H869" s="34">
        <v>0</v>
      </c>
      <c r="I869" s="34">
        <v>2800.84</v>
      </c>
      <c r="J869" s="34">
        <v>425.49</v>
      </c>
      <c r="K869" s="34">
        <v>3226.33</v>
      </c>
      <c r="L869" s="33" t="s">
        <v>14</v>
      </c>
      <c r="M869" s="34" t="e">
        <f t="shared" si="105"/>
        <v>#DIV/0!</v>
      </c>
      <c r="N869" s="27"/>
      <c r="O869" s="34" t="e">
        <f t="shared" si="102"/>
        <v>#DIV/0!</v>
      </c>
      <c r="P869" s="35" t="e">
        <f t="shared" si="107"/>
        <v>#VALUE!</v>
      </c>
      <c r="Q869" s="34" t="e">
        <f t="shared" si="103"/>
        <v>#DIV/0!</v>
      </c>
      <c r="R869" s="35"/>
    </row>
    <row r="870" spans="1:18" hidden="1" x14ac:dyDescent="0.3">
      <c r="A870" s="37" t="s">
        <v>77</v>
      </c>
      <c r="B870" s="33" t="s">
        <v>61</v>
      </c>
      <c r="C870" s="34">
        <v>2662</v>
      </c>
      <c r="D870" s="33">
        <v>0</v>
      </c>
      <c r="E870" s="33"/>
      <c r="F870" s="33">
        <v>2662</v>
      </c>
      <c r="G870" s="34">
        <v>574.87</v>
      </c>
      <c r="H870" s="34">
        <v>0</v>
      </c>
      <c r="I870" s="34">
        <v>3236.87</v>
      </c>
      <c r="J870" s="34">
        <v>306.22000000000003</v>
      </c>
      <c r="K870" s="34">
        <v>3543.09</v>
      </c>
      <c r="L870" s="33" t="s">
        <v>14</v>
      </c>
      <c r="M870" s="34" t="e">
        <f t="shared" si="105"/>
        <v>#DIV/0!</v>
      </c>
      <c r="N870" s="27"/>
      <c r="O870" s="34" t="e">
        <f t="shared" si="102"/>
        <v>#DIV/0!</v>
      </c>
      <c r="P870" s="35" t="e">
        <f t="shared" si="107"/>
        <v>#VALUE!</v>
      </c>
      <c r="Q870" s="34" t="e">
        <f t="shared" si="103"/>
        <v>#DIV/0!</v>
      </c>
      <c r="R870" s="35"/>
    </row>
    <row r="871" spans="1:18" hidden="1" x14ac:dyDescent="0.3">
      <c r="A871" s="37" t="s">
        <v>77</v>
      </c>
      <c r="B871" s="33" t="s">
        <v>61</v>
      </c>
      <c r="C871" s="34">
        <v>2662</v>
      </c>
      <c r="D871" s="33">
        <v>80</v>
      </c>
      <c r="E871" s="33">
        <v>489.89</v>
      </c>
      <c r="F871" s="33">
        <v>2800</v>
      </c>
      <c r="G871" s="34">
        <v>627.89</v>
      </c>
      <c r="H871" s="34">
        <v>0</v>
      </c>
      <c r="I871" s="34">
        <v>3289.89</v>
      </c>
      <c r="J871" s="34">
        <v>471.76</v>
      </c>
      <c r="K871" s="34">
        <v>3761.65</v>
      </c>
      <c r="L871" s="33" t="s">
        <v>14</v>
      </c>
      <c r="M871" s="34" t="e">
        <f t="shared" si="105"/>
        <v>#DIV/0!</v>
      </c>
      <c r="N871" s="27"/>
      <c r="O871" s="34" t="e">
        <f t="shared" si="102"/>
        <v>#DIV/0!</v>
      </c>
      <c r="P871" s="35" t="e">
        <f t="shared" si="107"/>
        <v>#VALUE!</v>
      </c>
      <c r="Q871" s="34" t="e">
        <f t="shared" si="103"/>
        <v>#DIV/0!</v>
      </c>
      <c r="R871" s="35"/>
    </row>
    <row r="872" spans="1:18" hidden="1" x14ac:dyDescent="0.3">
      <c r="A872" s="37" t="s">
        <v>77</v>
      </c>
      <c r="B872" s="33" t="s">
        <v>61</v>
      </c>
      <c r="C872" s="34">
        <v>2700</v>
      </c>
      <c r="D872" s="33">
        <v>80</v>
      </c>
      <c r="E872" s="33">
        <v>537.35</v>
      </c>
      <c r="F872" s="33">
        <v>2800</v>
      </c>
      <c r="G872" s="34">
        <v>637.35</v>
      </c>
      <c r="H872" s="34">
        <v>0</v>
      </c>
      <c r="I872" s="34">
        <v>3337.35</v>
      </c>
      <c r="J872" s="34">
        <v>476.26</v>
      </c>
      <c r="K872" s="34">
        <v>3813.61</v>
      </c>
      <c r="L872" s="33" t="s">
        <v>14</v>
      </c>
      <c r="M872" s="34" t="e">
        <f t="shared" si="105"/>
        <v>#DIV/0!</v>
      </c>
      <c r="N872" s="27"/>
      <c r="O872" s="34" t="e">
        <f t="shared" si="102"/>
        <v>#DIV/0!</v>
      </c>
      <c r="P872" s="35" t="e">
        <f t="shared" si="107"/>
        <v>#VALUE!</v>
      </c>
      <c r="Q872" s="34" t="e">
        <f t="shared" si="103"/>
        <v>#DIV/0!</v>
      </c>
      <c r="R872" s="35"/>
    </row>
    <row r="873" spans="1:18" hidden="1" x14ac:dyDescent="0.3">
      <c r="A873" s="37" t="s">
        <v>77</v>
      </c>
      <c r="B873" s="33" t="s">
        <v>61</v>
      </c>
      <c r="C873" s="34">
        <v>2262</v>
      </c>
      <c r="D873" s="33">
        <v>80</v>
      </c>
      <c r="E873" s="33"/>
      <c r="F873" s="33">
        <v>2800</v>
      </c>
      <c r="G873" s="34">
        <v>538</v>
      </c>
      <c r="H873" s="34">
        <v>0</v>
      </c>
      <c r="I873" s="34">
        <v>2800</v>
      </c>
      <c r="J873" s="34">
        <v>425.42</v>
      </c>
      <c r="K873" s="34">
        <v>3225.42</v>
      </c>
      <c r="L873" s="33" t="s">
        <v>14</v>
      </c>
      <c r="M873" s="34" t="e">
        <f t="shared" si="105"/>
        <v>#DIV/0!</v>
      </c>
      <c r="N873" s="27"/>
      <c r="O873" s="34" t="e">
        <f t="shared" si="102"/>
        <v>#DIV/0!</v>
      </c>
      <c r="P873" s="35" t="e">
        <f t="shared" si="107"/>
        <v>#VALUE!</v>
      </c>
      <c r="Q873" s="34" t="e">
        <f t="shared" si="103"/>
        <v>#DIV/0!</v>
      </c>
      <c r="R873" s="35"/>
    </row>
    <row r="874" spans="1:18" hidden="1" x14ac:dyDescent="0.3">
      <c r="A874" s="37" t="s">
        <v>77</v>
      </c>
      <c r="B874" s="33" t="s">
        <v>61</v>
      </c>
      <c r="C874" s="34">
        <v>2262</v>
      </c>
      <c r="D874" s="33">
        <v>80</v>
      </c>
      <c r="E874" s="33"/>
      <c r="F874" s="33">
        <v>2800</v>
      </c>
      <c r="G874" s="34">
        <v>538</v>
      </c>
      <c r="H874" s="34">
        <v>0</v>
      </c>
      <c r="I874" s="34">
        <v>2800</v>
      </c>
      <c r="J874" s="34">
        <v>420.66</v>
      </c>
      <c r="K874" s="34">
        <v>3220.66</v>
      </c>
      <c r="L874" s="33" t="s">
        <v>14</v>
      </c>
      <c r="M874" s="34" t="e">
        <f t="shared" si="105"/>
        <v>#DIV/0!</v>
      </c>
      <c r="N874" s="27"/>
      <c r="O874" s="34" t="e">
        <f t="shared" si="102"/>
        <v>#DIV/0!</v>
      </c>
      <c r="P874" s="35" t="e">
        <f t="shared" si="107"/>
        <v>#VALUE!</v>
      </c>
      <c r="Q874" s="34" t="e">
        <f t="shared" si="103"/>
        <v>#DIV/0!</v>
      </c>
      <c r="R874" s="35"/>
    </row>
    <row r="875" spans="1:18" hidden="1" x14ac:dyDescent="0.3">
      <c r="A875" s="37" t="s">
        <v>77</v>
      </c>
      <c r="B875" s="33" t="s">
        <v>61</v>
      </c>
      <c r="C875" s="34">
        <v>2162</v>
      </c>
      <c r="D875" s="33">
        <v>80</v>
      </c>
      <c r="E875" s="33"/>
      <c r="F875" s="33">
        <v>2800</v>
      </c>
      <c r="G875" s="34">
        <v>638</v>
      </c>
      <c r="H875" s="34">
        <v>0</v>
      </c>
      <c r="I875" s="34">
        <v>2800</v>
      </c>
      <c r="J875" s="34">
        <v>420.66</v>
      </c>
      <c r="K875" s="34">
        <v>3220.66</v>
      </c>
      <c r="L875" s="33" t="s">
        <v>14</v>
      </c>
      <c r="M875" s="34" t="e">
        <f t="shared" si="105"/>
        <v>#DIV/0!</v>
      </c>
      <c r="N875" s="27"/>
      <c r="O875" s="34" t="e">
        <f t="shared" si="102"/>
        <v>#DIV/0!</v>
      </c>
      <c r="P875" s="35" t="e">
        <f t="shared" si="107"/>
        <v>#VALUE!</v>
      </c>
      <c r="Q875" s="34" t="e">
        <f t="shared" si="103"/>
        <v>#DIV/0!</v>
      </c>
      <c r="R875" s="35"/>
    </row>
    <row r="876" spans="1:18" hidden="1" x14ac:dyDescent="0.3">
      <c r="A876" s="37" t="s">
        <v>77</v>
      </c>
      <c r="B876" s="33" t="s">
        <v>61</v>
      </c>
      <c r="C876" s="34">
        <v>2300</v>
      </c>
      <c r="D876" s="33">
        <v>80</v>
      </c>
      <c r="E876" s="33">
        <v>37.94</v>
      </c>
      <c r="F876" s="33">
        <v>2800</v>
      </c>
      <c r="G876" s="34">
        <v>537.94000000000005</v>
      </c>
      <c r="H876" s="34">
        <v>0</v>
      </c>
      <c r="I876" s="34">
        <v>2837.94</v>
      </c>
      <c r="J876" s="34">
        <v>424.18</v>
      </c>
      <c r="K876" s="34">
        <v>3262.12</v>
      </c>
      <c r="L876" s="33" t="s">
        <v>14</v>
      </c>
      <c r="M876" s="34" t="e">
        <f t="shared" si="105"/>
        <v>#DIV/0!</v>
      </c>
      <c r="N876" s="27"/>
      <c r="O876" s="34" t="e">
        <f t="shared" si="102"/>
        <v>#DIV/0!</v>
      </c>
      <c r="P876" s="35" t="e">
        <f t="shared" si="107"/>
        <v>#VALUE!</v>
      </c>
      <c r="Q876" s="34" t="e">
        <f t="shared" si="103"/>
        <v>#DIV/0!</v>
      </c>
      <c r="R876" s="35"/>
    </row>
    <row r="877" spans="1:18" x14ac:dyDescent="0.3">
      <c r="A877" s="32">
        <v>43623</v>
      </c>
      <c r="B877" s="33" t="s">
        <v>61</v>
      </c>
      <c r="C877" s="34">
        <v>1950</v>
      </c>
      <c r="D877" s="30">
        <v>51</v>
      </c>
      <c r="E877" s="35"/>
      <c r="F877" s="35">
        <v>2730</v>
      </c>
      <c r="G877" s="34">
        <v>780</v>
      </c>
      <c r="H877" s="34">
        <v>0</v>
      </c>
      <c r="I877" s="34">
        <v>2730</v>
      </c>
      <c r="J877" s="34">
        <v>410.15</v>
      </c>
      <c r="K877" s="34">
        <v>3140.15</v>
      </c>
      <c r="L877" s="33" t="s">
        <v>14</v>
      </c>
      <c r="M877" s="34">
        <f t="shared" si="105"/>
        <v>53.529411764705884</v>
      </c>
      <c r="N877" s="27">
        <v>51</v>
      </c>
      <c r="O877" s="34">
        <v>0</v>
      </c>
      <c r="P877" s="35">
        <f t="shared" si="107"/>
        <v>0</v>
      </c>
      <c r="Q877" s="40">
        <f t="shared" ref="Q877:Q899" si="108">O877*2</f>
        <v>0</v>
      </c>
      <c r="R877" s="35">
        <v>556.29999999999995</v>
      </c>
    </row>
    <row r="878" spans="1:18" x14ac:dyDescent="0.3">
      <c r="A878" s="32">
        <v>43637</v>
      </c>
      <c r="B878" s="33" t="s">
        <v>61</v>
      </c>
      <c r="C878" s="34">
        <v>2992</v>
      </c>
      <c r="D878" s="33">
        <v>78</v>
      </c>
      <c r="E878" s="35">
        <v>801.93</v>
      </c>
      <c r="F878" s="35">
        <v>2730</v>
      </c>
      <c r="G878" s="34">
        <v>519.92999999999995</v>
      </c>
      <c r="H878" s="34">
        <v>20</v>
      </c>
      <c r="I878" s="34">
        <v>3531.93</v>
      </c>
      <c r="J878" s="34">
        <v>484.64</v>
      </c>
      <c r="K878" s="34">
        <v>4016.57</v>
      </c>
      <c r="L878" s="33" t="s">
        <v>14</v>
      </c>
      <c r="M878" s="34">
        <f t="shared" si="105"/>
        <v>29.310622406639002</v>
      </c>
      <c r="N878" s="27">
        <v>120.5</v>
      </c>
      <c r="O878" s="34">
        <f t="shared" si="102"/>
        <v>593.54010373443975</v>
      </c>
      <c r="P878" s="35">
        <f t="shared" si="107"/>
        <v>142.44999999999999</v>
      </c>
      <c r="Q878" s="40">
        <f t="shared" si="108"/>
        <v>1187.0802074688795</v>
      </c>
      <c r="R878" s="35"/>
    </row>
    <row r="879" spans="1:18" x14ac:dyDescent="0.3">
      <c r="A879" s="32">
        <v>43651</v>
      </c>
      <c r="B879" s="33" t="s">
        <v>61</v>
      </c>
      <c r="C879" s="34">
        <v>1732</v>
      </c>
      <c r="D879" s="30">
        <v>26</v>
      </c>
      <c r="E879" s="35">
        <v>203.57</v>
      </c>
      <c r="F879" s="35">
        <v>1750</v>
      </c>
      <c r="G879" s="34">
        <v>191.57</v>
      </c>
      <c r="H879" s="34">
        <v>30</v>
      </c>
      <c r="I879" s="34">
        <v>1953.57</v>
      </c>
      <c r="J879" s="34">
        <v>321.95999999999998</v>
      </c>
      <c r="K879" s="34">
        <v>2275.5300000000002</v>
      </c>
      <c r="L879" s="33" t="s">
        <v>14</v>
      </c>
      <c r="M879" s="34">
        <f t="shared" si="105"/>
        <v>75.137307692307687</v>
      </c>
      <c r="N879" s="27">
        <v>26</v>
      </c>
      <c r="O879" s="34">
        <v>0</v>
      </c>
      <c r="P879" s="35">
        <f t="shared" si="107"/>
        <v>0</v>
      </c>
      <c r="Q879" s="40">
        <f t="shared" si="108"/>
        <v>0</v>
      </c>
      <c r="R879" s="35"/>
    </row>
    <row r="880" spans="1:18" x14ac:dyDescent="0.3">
      <c r="A880" s="32">
        <v>43665</v>
      </c>
      <c r="B880" s="33" t="s">
        <v>61</v>
      </c>
      <c r="C880" s="34">
        <v>1647</v>
      </c>
      <c r="D880" s="30">
        <v>68.5</v>
      </c>
      <c r="E880" s="35">
        <v>204.64</v>
      </c>
      <c r="F880" s="35">
        <v>1712</v>
      </c>
      <c r="G880" s="34">
        <v>204.64</v>
      </c>
      <c r="H880" s="34">
        <v>65</v>
      </c>
      <c r="I880" s="34">
        <v>1916.64</v>
      </c>
      <c r="J880" s="34">
        <v>314.51</v>
      </c>
      <c r="K880" s="34">
        <v>2231.15</v>
      </c>
      <c r="L880" s="33" t="s">
        <v>14</v>
      </c>
      <c r="M880" s="34">
        <f t="shared" si="105"/>
        <v>27.980145985401457</v>
      </c>
      <c r="N880" s="27">
        <v>68.5</v>
      </c>
      <c r="O880" s="34">
        <v>0</v>
      </c>
      <c r="P880" s="35">
        <f t="shared" si="107"/>
        <v>0</v>
      </c>
      <c r="Q880" s="40">
        <f t="shared" si="108"/>
        <v>0</v>
      </c>
      <c r="R880" s="35"/>
    </row>
    <row r="881" spans="1:18" x14ac:dyDescent="0.3">
      <c r="A881" s="32">
        <v>43679</v>
      </c>
      <c r="B881" s="33" t="s">
        <v>61</v>
      </c>
      <c r="C881" s="34">
        <v>2862</v>
      </c>
      <c r="D881" s="33">
        <v>80</v>
      </c>
      <c r="E881" s="35">
        <v>483.91</v>
      </c>
      <c r="F881" s="35">
        <v>2862</v>
      </c>
      <c r="G881" s="34">
        <v>483.97</v>
      </c>
      <c r="H881" s="34">
        <v>-0.06</v>
      </c>
      <c r="I881" s="34">
        <v>3345.91</v>
      </c>
      <c r="J881" s="34">
        <v>471.37</v>
      </c>
      <c r="K881" s="34">
        <v>3817.28</v>
      </c>
      <c r="L881" s="33" t="s">
        <v>14</v>
      </c>
      <c r="M881" s="34">
        <f t="shared" si="105"/>
        <v>30.417363636363635</v>
      </c>
      <c r="N881" s="27">
        <v>110</v>
      </c>
      <c r="O881" s="34">
        <f t="shared" si="102"/>
        <v>456.26045454545454</v>
      </c>
      <c r="P881" s="35">
        <f t="shared" si="107"/>
        <v>104.94</v>
      </c>
      <c r="Q881" s="40">
        <f t="shared" si="108"/>
        <v>912.52090909090907</v>
      </c>
      <c r="R881" s="35"/>
    </row>
    <row r="882" spans="1:18" x14ac:dyDescent="0.3">
      <c r="A882" s="32">
        <v>43693</v>
      </c>
      <c r="B882" s="33" t="s">
        <v>61</v>
      </c>
      <c r="C882" s="34">
        <v>2362</v>
      </c>
      <c r="D882" s="33">
        <v>80</v>
      </c>
      <c r="E882" s="35">
        <v>372.16</v>
      </c>
      <c r="F882" s="35">
        <v>2412</v>
      </c>
      <c r="G882" s="34">
        <v>372.16</v>
      </c>
      <c r="H882" s="34">
        <v>50</v>
      </c>
      <c r="I882" s="34">
        <v>2784.16</v>
      </c>
      <c r="J882" s="34">
        <v>419.19</v>
      </c>
      <c r="K882" s="34">
        <v>3203.35</v>
      </c>
      <c r="L882" s="33" t="s">
        <v>14</v>
      </c>
      <c r="M882" s="34">
        <f t="shared" si="105"/>
        <v>27.430147783251229</v>
      </c>
      <c r="N882" s="27">
        <v>101.5</v>
      </c>
      <c r="O882" s="34">
        <f t="shared" si="102"/>
        <v>294.87408866995071</v>
      </c>
      <c r="P882" s="35">
        <f t="shared" si="107"/>
        <v>64.87</v>
      </c>
      <c r="Q882" s="40">
        <f t="shared" si="108"/>
        <v>589.74817733990142</v>
      </c>
      <c r="R882" s="35"/>
    </row>
    <row r="883" spans="1:18" x14ac:dyDescent="0.3">
      <c r="A883" s="32">
        <v>43707</v>
      </c>
      <c r="B883" s="33" t="s">
        <v>61</v>
      </c>
      <c r="C883" s="34">
        <v>3300</v>
      </c>
      <c r="D883" s="33">
        <v>80</v>
      </c>
      <c r="E883" s="35">
        <v>605.24</v>
      </c>
      <c r="F883" s="35">
        <v>3350</v>
      </c>
      <c r="G883" s="34">
        <v>605.24</v>
      </c>
      <c r="H883" s="34">
        <v>50</v>
      </c>
      <c r="I883" s="34">
        <v>3955.24</v>
      </c>
      <c r="J883" s="34">
        <v>503.04</v>
      </c>
      <c r="K883" s="34">
        <v>4458.28</v>
      </c>
      <c r="L883" s="33" t="s">
        <v>14</v>
      </c>
      <c r="M883" s="34">
        <f t="shared" si="105"/>
        <v>29.516716417910445</v>
      </c>
      <c r="N883" s="27">
        <v>134</v>
      </c>
      <c r="O883" s="34">
        <f t="shared" si="102"/>
        <v>796.95134328358199</v>
      </c>
      <c r="P883" s="35">
        <f t="shared" si="107"/>
        <v>175.33</v>
      </c>
      <c r="Q883" s="40">
        <f t="shared" si="108"/>
        <v>1593.902686567164</v>
      </c>
      <c r="R883" s="35"/>
    </row>
    <row r="884" spans="1:18" x14ac:dyDescent="0.3">
      <c r="A884" s="32">
        <v>43721</v>
      </c>
      <c r="B884" s="33" t="s">
        <v>61</v>
      </c>
      <c r="C884" s="34">
        <v>2350</v>
      </c>
      <c r="D884" s="36">
        <v>54</v>
      </c>
      <c r="E884" s="35">
        <v>356.76</v>
      </c>
      <c r="F884" s="35">
        <v>2350</v>
      </c>
      <c r="G884" s="34">
        <v>356.76</v>
      </c>
      <c r="H884" s="34">
        <v>0</v>
      </c>
      <c r="I884" s="34">
        <v>2706.76</v>
      </c>
      <c r="J884" s="34">
        <v>367.61</v>
      </c>
      <c r="K884" s="34">
        <v>3074.37</v>
      </c>
      <c r="L884" s="33" t="s">
        <v>14</v>
      </c>
      <c r="M884" s="34">
        <f t="shared" si="105"/>
        <v>28.949304812834228</v>
      </c>
      <c r="N884" s="27">
        <v>93.5</v>
      </c>
      <c r="O884" s="38">
        <f>(M884*0.5)*14</f>
        <v>202.64513368983961</v>
      </c>
      <c r="P884" s="35">
        <f t="shared" si="107"/>
        <v>42.56</v>
      </c>
      <c r="Q884" s="40">
        <f t="shared" si="108"/>
        <v>405.29026737967922</v>
      </c>
      <c r="R884" s="35"/>
    </row>
    <row r="885" spans="1:18" x14ac:dyDescent="0.3">
      <c r="A885" s="32">
        <v>43735</v>
      </c>
      <c r="B885" s="33" t="s">
        <v>61</v>
      </c>
      <c r="C885" s="34">
        <v>2950</v>
      </c>
      <c r="D885" s="33">
        <v>80</v>
      </c>
      <c r="E885" s="35">
        <v>505.84</v>
      </c>
      <c r="F885" s="35">
        <v>2950</v>
      </c>
      <c r="G885" s="34">
        <v>505.84</v>
      </c>
      <c r="H885" s="34">
        <v>0</v>
      </c>
      <c r="I885" s="34">
        <v>3455.84</v>
      </c>
      <c r="J885" s="34">
        <v>424.91</v>
      </c>
      <c r="K885" s="34">
        <v>3880.75</v>
      </c>
      <c r="L885" s="33" t="s">
        <v>14</v>
      </c>
      <c r="M885" s="34">
        <f t="shared" si="105"/>
        <v>29.286779661016951</v>
      </c>
      <c r="N885" s="27">
        <v>118</v>
      </c>
      <c r="O885" s="34">
        <f t="shared" si="102"/>
        <v>556.44881355932205</v>
      </c>
      <c r="P885" s="35">
        <f t="shared" si="107"/>
        <v>116.85</v>
      </c>
      <c r="Q885" s="40">
        <f t="shared" si="108"/>
        <v>1112.8976271186441</v>
      </c>
      <c r="R885" s="35"/>
    </row>
    <row r="886" spans="1:18" x14ac:dyDescent="0.3">
      <c r="A886" s="32">
        <v>43749</v>
      </c>
      <c r="B886" s="33" t="s">
        <v>61</v>
      </c>
      <c r="C886" s="34">
        <v>3180</v>
      </c>
      <c r="D886" s="33">
        <v>80</v>
      </c>
      <c r="E886" s="35">
        <v>580.4</v>
      </c>
      <c r="F886" s="35">
        <v>3250</v>
      </c>
      <c r="G886" s="34">
        <v>580.4</v>
      </c>
      <c r="H886" s="34">
        <v>70</v>
      </c>
      <c r="I886" s="34">
        <v>3830.4</v>
      </c>
      <c r="J886" s="34">
        <v>453.57</v>
      </c>
      <c r="K886" s="34">
        <v>4283.97</v>
      </c>
      <c r="L886" s="33" t="s">
        <v>14</v>
      </c>
      <c r="M886" s="34">
        <f t="shared" si="105"/>
        <v>29.464615384615385</v>
      </c>
      <c r="N886" s="27">
        <v>130</v>
      </c>
      <c r="O886" s="34">
        <f t="shared" si="102"/>
        <v>736.61538461538464</v>
      </c>
      <c r="P886" s="35">
        <f t="shared" si="107"/>
        <v>147.32</v>
      </c>
      <c r="Q886" s="40">
        <f t="shared" si="108"/>
        <v>1473.2307692307693</v>
      </c>
      <c r="R886" s="35"/>
    </row>
    <row r="887" spans="1:18" x14ac:dyDescent="0.3">
      <c r="A887" s="32">
        <v>43763</v>
      </c>
      <c r="B887" s="33" t="s">
        <v>61</v>
      </c>
      <c r="C887" s="34">
        <v>2335</v>
      </c>
      <c r="D887" s="33">
        <v>80</v>
      </c>
      <c r="E887" s="35">
        <v>362.96</v>
      </c>
      <c r="F887" s="35">
        <v>2375</v>
      </c>
      <c r="G887" s="34">
        <v>362.96</v>
      </c>
      <c r="H887" s="34">
        <v>40</v>
      </c>
      <c r="I887" s="34">
        <v>2737.96</v>
      </c>
      <c r="J887" s="34">
        <v>369.99</v>
      </c>
      <c r="K887" s="34">
        <v>3107.95</v>
      </c>
      <c r="L887" s="33" t="s">
        <v>14</v>
      </c>
      <c r="M887" s="34">
        <f t="shared" si="105"/>
        <v>28.820631578947367</v>
      </c>
      <c r="N887" s="27">
        <v>95</v>
      </c>
      <c r="O887" s="34">
        <f t="shared" si="102"/>
        <v>216.15473684210525</v>
      </c>
      <c r="P887" s="35">
        <f t="shared" si="107"/>
        <v>43.23</v>
      </c>
      <c r="Q887" s="40">
        <f t="shared" si="108"/>
        <v>432.3094736842105</v>
      </c>
      <c r="R887" s="35"/>
    </row>
    <row r="888" spans="1:18" x14ac:dyDescent="0.3">
      <c r="A888" s="32">
        <v>43777</v>
      </c>
      <c r="B888" s="33" t="s">
        <v>61</v>
      </c>
      <c r="C888" s="34">
        <v>2950</v>
      </c>
      <c r="D888" s="33">
        <v>80</v>
      </c>
      <c r="E888" s="35">
        <v>518.27</v>
      </c>
      <c r="F888" s="35">
        <v>3000</v>
      </c>
      <c r="G888" s="34">
        <v>518.27</v>
      </c>
      <c r="H888" s="34">
        <v>50</v>
      </c>
      <c r="I888" s="34">
        <v>3518.27</v>
      </c>
      <c r="J888" s="34">
        <v>429.69</v>
      </c>
      <c r="K888" s="34">
        <v>3947.96</v>
      </c>
      <c r="L888" s="33" t="s">
        <v>14</v>
      </c>
      <c r="M888" s="34">
        <f t="shared" si="105"/>
        <v>29.318916666666667</v>
      </c>
      <c r="N888" s="27">
        <v>120</v>
      </c>
      <c r="O888" s="34">
        <f t="shared" si="102"/>
        <v>586.37833333333333</v>
      </c>
      <c r="P888" s="35">
        <f t="shared" si="107"/>
        <v>117.28</v>
      </c>
      <c r="Q888" s="40">
        <f t="shared" si="108"/>
        <v>1172.7566666666667</v>
      </c>
      <c r="R888" s="35"/>
    </row>
    <row r="889" spans="1:18" x14ac:dyDescent="0.3">
      <c r="A889" s="32">
        <v>43791</v>
      </c>
      <c r="B889" s="33" t="s">
        <v>61</v>
      </c>
      <c r="C889" s="34">
        <v>1837</v>
      </c>
      <c r="D889" s="36">
        <v>56</v>
      </c>
      <c r="E889" s="35">
        <v>239.66</v>
      </c>
      <c r="F889" s="35">
        <v>1837</v>
      </c>
      <c r="G889" s="34">
        <v>239.66</v>
      </c>
      <c r="H889" s="34">
        <v>0</v>
      </c>
      <c r="I889" s="34">
        <v>2076.66</v>
      </c>
      <c r="J889" s="34">
        <v>319.41000000000003</v>
      </c>
      <c r="K889" s="34">
        <v>2396.0700000000002</v>
      </c>
      <c r="L889" s="33" t="s">
        <v>14</v>
      </c>
      <c r="M889" s="34">
        <f t="shared" si="105"/>
        <v>28.44739726027397</v>
      </c>
      <c r="N889" s="27">
        <v>73</v>
      </c>
      <c r="O889" s="38">
        <f>(M889*0.5)*16</f>
        <v>227.57917808219176</v>
      </c>
      <c r="P889" s="35">
        <f t="shared" si="107"/>
        <v>43.24</v>
      </c>
      <c r="Q889" s="40">
        <f t="shared" si="108"/>
        <v>455.15835616438352</v>
      </c>
      <c r="R889" s="35"/>
    </row>
    <row r="890" spans="1:18" x14ac:dyDescent="0.3">
      <c r="A890" s="32">
        <v>43805</v>
      </c>
      <c r="B890" s="33" t="s">
        <v>61</v>
      </c>
      <c r="C890" s="34">
        <v>2150</v>
      </c>
      <c r="D890" s="36">
        <v>58</v>
      </c>
      <c r="E890" s="35">
        <v>307.92</v>
      </c>
      <c r="F890" s="35">
        <v>2150</v>
      </c>
      <c r="G890" s="34">
        <v>307.92</v>
      </c>
      <c r="H890" s="34">
        <v>0</v>
      </c>
      <c r="I890" s="34">
        <v>2457.92</v>
      </c>
      <c r="J890" s="34">
        <v>348.57</v>
      </c>
      <c r="K890" s="34">
        <v>2806.49</v>
      </c>
      <c r="L890" s="33" t="s">
        <v>14</v>
      </c>
      <c r="M890" s="34">
        <f t="shared" si="105"/>
        <v>28.580465116279072</v>
      </c>
      <c r="N890" s="27">
        <v>86</v>
      </c>
      <c r="O890" s="38">
        <f>(M890*0.5)*18</f>
        <v>257.22418604651165</v>
      </c>
      <c r="P890" s="35">
        <f t="shared" si="107"/>
        <v>48.87</v>
      </c>
      <c r="Q890" s="40">
        <f t="shared" si="108"/>
        <v>514.44837209302329</v>
      </c>
      <c r="R890" s="35"/>
    </row>
    <row r="891" spans="1:18" x14ac:dyDescent="0.3">
      <c r="A891" s="32">
        <v>43819</v>
      </c>
      <c r="B891" s="33" t="s">
        <v>61</v>
      </c>
      <c r="C891" s="34">
        <v>2887</v>
      </c>
      <c r="D891" s="33">
        <v>80</v>
      </c>
      <c r="E891" s="35">
        <v>490.18</v>
      </c>
      <c r="F891" s="35">
        <v>2887</v>
      </c>
      <c r="G891" s="34">
        <v>490.18</v>
      </c>
      <c r="H891" s="34">
        <v>0</v>
      </c>
      <c r="I891" s="34">
        <v>3377.18</v>
      </c>
      <c r="J891" s="34">
        <v>418.89</v>
      </c>
      <c r="K891" s="34">
        <v>3796.07</v>
      </c>
      <c r="L891" s="33" t="s">
        <v>14</v>
      </c>
      <c r="M891" s="34">
        <f t="shared" si="105"/>
        <v>29.239653679653678</v>
      </c>
      <c r="N891" s="27">
        <v>115.5</v>
      </c>
      <c r="O891" s="34">
        <f t="shared" ref="O891:O912" si="109">((N891-80)*M891)*0.5</f>
        <v>519.00385281385275</v>
      </c>
      <c r="P891" s="35">
        <f t="shared" si="107"/>
        <v>93.42</v>
      </c>
      <c r="Q891" s="40">
        <f t="shared" si="108"/>
        <v>1038.0077056277055</v>
      </c>
      <c r="R891" s="35"/>
    </row>
    <row r="892" spans="1:18" x14ac:dyDescent="0.3">
      <c r="A892" s="32">
        <v>43833</v>
      </c>
      <c r="B892" s="33" t="s">
        <v>61</v>
      </c>
      <c r="C892" s="34">
        <v>2622</v>
      </c>
      <c r="D892" s="36">
        <v>56.5</v>
      </c>
      <c r="E892" s="35">
        <v>418.81</v>
      </c>
      <c r="F892" s="35">
        <v>2622</v>
      </c>
      <c r="G892" s="34">
        <v>418.81</v>
      </c>
      <c r="H892" s="34">
        <v>0</v>
      </c>
      <c r="I892" s="34">
        <v>3040.81</v>
      </c>
      <c r="J892" s="34">
        <v>461.27</v>
      </c>
      <c r="K892" s="34">
        <v>3502.08</v>
      </c>
      <c r="L892" s="33" t="s">
        <v>14</v>
      </c>
      <c r="M892" s="34">
        <f t="shared" si="105"/>
        <v>34.359435028248583</v>
      </c>
      <c r="N892" s="27">
        <v>88.5</v>
      </c>
      <c r="O892" s="38">
        <f>(M892*0.5)*16.5</f>
        <v>283.4653389830508</v>
      </c>
      <c r="P892" s="35">
        <f t="shared" si="107"/>
        <v>51.02</v>
      </c>
      <c r="Q892" s="40">
        <f t="shared" si="108"/>
        <v>566.9306779661016</v>
      </c>
      <c r="R892" s="35"/>
    </row>
    <row r="893" spans="1:18" x14ac:dyDescent="0.3">
      <c r="A893" s="32">
        <v>43847</v>
      </c>
      <c r="B893" s="33" t="s">
        <v>61</v>
      </c>
      <c r="C893" s="34">
        <v>2958</v>
      </c>
      <c r="D893" s="36">
        <v>52.5</v>
      </c>
      <c r="E893" s="35"/>
      <c r="F893" s="49">
        <v>1458</v>
      </c>
      <c r="G893" s="34">
        <v>390.66</v>
      </c>
      <c r="H893" s="34">
        <v>0</v>
      </c>
      <c r="I893" s="34">
        <v>3348.66</v>
      </c>
      <c r="J893" s="34">
        <v>408.94</v>
      </c>
      <c r="K893" s="34">
        <v>3757.6</v>
      </c>
      <c r="L893" s="33" t="s">
        <v>14</v>
      </c>
      <c r="M893" s="34">
        <f t="shared" si="105"/>
        <v>27.771428571428572</v>
      </c>
      <c r="N893" s="27">
        <v>52.5</v>
      </c>
      <c r="O893" s="38">
        <f>(M893*0.5)*12.5</f>
        <v>173.57142857142858</v>
      </c>
      <c r="P893" s="35">
        <f t="shared" si="107"/>
        <v>29.51</v>
      </c>
      <c r="Q893" s="40">
        <f t="shared" si="108"/>
        <v>347.14285714285717</v>
      </c>
      <c r="R893" s="35"/>
    </row>
    <row r="894" spans="1:18" x14ac:dyDescent="0.3">
      <c r="A894" s="32">
        <v>43861</v>
      </c>
      <c r="B894" s="33" t="s">
        <v>61</v>
      </c>
      <c r="C894" s="34">
        <v>3255</v>
      </c>
      <c r="D894" s="33">
        <v>80</v>
      </c>
      <c r="E894" s="35"/>
      <c r="F894" s="35">
        <v>3267</v>
      </c>
      <c r="G894" s="34">
        <v>463.84</v>
      </c>
      <c r="H894" s="34">
        <v>12</v>
      </c>
      <c r="I894" s="34">
        <v>3730.84</v>
      </c>
      <c r="J894" s="34">
        <v>470.05</v>
      </c>
      <c r="K894" s="34">
        <v>4200.8900000000003</v>
      </c>
      <c r="L894" s="33" t="s">
        <v>14</v>
      </c>
      <c r="M894" s="34">
        <f t="shared" si="105"/>
        <v>27</v>
      </c>
      <c r="N894" s="27">
        <v>121</v>
      </c>
      <c r="O894" s="34">
        <f t="shared" si="109"/>
        <v>553.5</v>
      </c>
      <c r="P894" s="35">
        <f t="shared" si="107"/>
        <v>94.1</v>
      </c>
      <c r="Q894" s="40">
        <f t="shared" si="108"/>
        <v>1107</v>
      </c>
      <c r="R894" s="35"/>
    </row>
    <row r="895" spans="1:18" x14ac:dyDescent="0.3">
      <c r="A895" s="32">
        <v>43875</v>
      </c>
      <c r="B895" s="33" t="s">
        <v>61</v>
      </c>
      <c r="C895" s="34">
        <v>2578</v>
      </c>
      <c r="D895" s="33">
        <v>80</v>
      </c>
      <c r="E895" s="35"/>
      <c r="F895" s="35">
        <v>2578</v>
      </c>
      <c r="G895" s="34">
        <v>317.89999999999998</v>
      </c>
      <c r="H895" s="34">
        <v>0</v>
      </c>
      <c r="I895" s="34">
        <v>2895.9</v>
      </c>
      <c r="J895" s="34">
        <v>351.93</v>
      </c>
      <c r="K895" s="34">
        <v>3247.83</v>
      </c>
      <c r="L895" s="33" t="s">
        <v>14</v>
      </c>
      <c r="M895" s="34">
        <f t="shared" si="105"/>
        <v>26.994764397905758</v>
      </c>
      <c r="N895" s="27">
        <v>95.5</v>
      </c>
      <c r="O895" s="34">
        <f t="shared" si="109"/>
        <v>209.20942408376962</v>
      </c>
      <c r="P895" s="35">
        <f t="shared" si="107"/>
        <v>33.47</v>
      </c>
      <c r="Q895" s="40">
        <f t="shared" si="108"/>
        <v>418.41884816753924</v>
      </c>
      <c r="R895" s="35"/>
    </row>
    <row r="896" spans="1:18" x14ac:dyDescent="0.3">
      <c r="A896" s="32">
        <v>43889</v>
      </c>
      <c r="B896" s="33" t="s">
        <v>61</v>
      </c>
      <c r="C896" s="34">
        <v>3486</v>
      </c>
      <c r="D896" s="33">
        <v>80</v>
      </c>
      <c r="E896" s="35"/>
      <c r="F896" s="35">
        <v>3486</v>
      </c>
      <c r="G896" s="34">
        <v>498.6</v>
      </c>
      <c r="H896" s="34">
        <v>0</v>
      </c>
      <c r="I896" s="34">
        <v>3984.6</v>
      </c>
      <c r="J896" s="34">
        <v>436.26</v>
      </c>
      <c r="K896" s="34">
        <v>4420.8599999999997</v>
      </c>
      <c r="L896" s="33" t="s">
        <v>14</v>
      </c>
      <c r="M896" s="34">
        <f t="shared" si="105"/>
        <v>28.691358024691358</v>
      </c>
      <c r="N896" s="27">
        <v>121.5</v>
      </c>
      <c r="O896" s="34">
        <f t="shared" si="109"/>
        <v>595.34567901234561</v>
      </c>
      <c r="P896" s="35">
        <f t="shared" si="107"/>
        <v>95.26</v>
      </c>
      <c r="Q896" s="40">
        <f t="shared" si="108"/>
        <v>1190.6913580246912</v>
      </c>
      <c r="R896" s="35"/>
    </row>
    <row r="897" spans="1:18" x14ac:dyDescent="0.3">
      <c r="A897" s="32">
        <v>43903</v>
      </c>
      <c r="B897" s="33" t="s">
        <v>61</v>
      </c>
      <c r="C897" s="34">
        <v>2310</v>
      </c>
      <c r="D897" s="33">
        <v>80</v>
      </c>
      <c r="E897" s="35"/>
      <c r="F897" s="35">
        <v>2310</v>
      </c>
      <c r="G897" s="34">
        <v>269.14999999999998</v>
      </c>
      <c r="H897" s="34">
        <v>0</v>
      </c>
      <c r="I897" s="34">
        <v>2579.15</v>
      </c>
      <c r="J897" s="34">
        <v>327.02</v>
      </c>
      <c r="K897" s="34">
        <v>2906.17</v>
      </c>
      <c r="L897" s="33" t="s">
        <v>14</v>
      </c>
      <c r="M897" s="34">
        <f t="shared" si="105"/>
        <v>28</v>
      </c>
      <c r="N897" s="27">
        <v>82.5</v>
      </c>
      <c r="O897" s="34">
        <f t="shared" si="109"/>
        <v>35</v>
      </c>
      <c r="P897" s="35">
        <f t="shared" si="107"/>
        <v>5.25</v>
      </c>
      <c r="Q897" s="40">
        <f t="shared" si="108"/>
        <v>70</v>
      </c>
      <c r="R897" s="35"/>
    </row>
    <row r="898" spans="1:18" x14ac:dyDescent="0.3">
      <c r="A898" s="32">
        <v>43917</v>
      </c>
      <c r="B898" s="33" t="s">
        <v>61</v>
      </c>
      <c r="C898" s="34">
        <v>2511.87</v>
      </c>
      <c r="D898" s="33">
        <v>87</v>
      </c>
      <c r="E898" s="35"/>
      <c r="F898" s="49">
        <v>2896</v>
      </c>
      <c r="G898" s="34">
        <v>384.13</v>
      </c>
      <c r="H898" s="34">
        <v>0</v>
      </c>
      <c r="I898" s="34">
        <v>2896</v>
      </c>
      <c r="J898" s="34">
        <v>391.29</v>
      </c>
      <c r="K898" s="34">
        <v>3287.29</v>
      </c>
      <c r="L898" s="33" t="s">
        <v>14</v>
      </c>
      <c r="M898" s="34">
        <f t="shared" si="105"/>
        <v>33.287356321839077</v>
      </c>
      <c r="N898" s="27">
        <v>87</v>
      </c>
      <c r="O898" s="38">
        <v>0</v>
      </c>
      <c r="P898" s="35">
        <f t="shared" si="107"/>
        <v>0</v>
      </c>
      <c r="Q898" s="40">
        <f t="shared" si="108"/>
        <v>0</v>
      </c>
      <c r="R898" s="35"/>
    </row>
    <row r="899" spans="1:18" x14ac:dyDescent="0.3">
      <c r="A899" s="32">
        <v>43931</v>
      </c>
      <c r="B899" s="33" t="s">
        <v>61</v>
      </c>
      <c r="C899" s="34">
        <v>1162</v>
      </c>
      <c r="D899" s="30">
        <v>16</v>
      </c>
      <c r="E899" s="35"/>
      <c r="F899" s="35">
        <v>1280</v>
      </c>
      <c r="G899" s="34">
        <v>118</v>
      </c>
      <c r="H899" s="34">
        <v>0</v>
      </c>
      <c r="I899" s="34">
        <v>1280</v>
      </c>
      <c r="J899" s="34">
        <v>175.13</v>
      </c>
      <c r="K899" s="34">
        <v>1455.13</v>
      </c>
      <c r="L899" s="33" t="s">
        <v>14</v>
      </c>
      <c r="M899" s="34">
        <f t="shared" si="105"/>
        <v>80</v>
      </c>
      <c r="N899" s="27">
        <v>16</v>
      </c>
      <c r="O899" s="34">
        <v>0</v>
      </c>
      <c r="P899" s="35">
        <f t="shared" si="107"/>
        <v>0</v>
      </c>
      <c r="Q899" s="40">
        <f t="shared" si="108"/>
        <v>0</v>
      </c>
      <c r="R899" s="35"/>
    </row>
    <row r="900" spans="1:18" hidden="1" x14ac:dyDescent="0.3">
      <c r="A900" s="37" t="s">
        <v>77</v>
      </c>
      <c r="B900" s="33" t="s">
        <v>61</v>
      </c>
      <c r="C900" s="34">
        <v>500.25</v>
      </c>
      <c r="D900" s="33">
        <v>17.22</v>
      </c>
      <c r="E900" s="33"/>
      <c r="F900" s="33">
        <v>551.04</v>
      </c>
      <c r="G900" s="34">
        <v>50.79</v>
      </c>
      <c r="H900" s="34">
        <v>0</v>
      </c>
      <c r="I900" s="34">
        <v>551.04</v>
      </c>
      <c r="J900" s="34">
        <v>74.319999999999993</v>
      </c>
      <c r="K900" s="34">
        <v>625.36</v>
      </c>
      <c r="L900" s="33" t="s">
        <v>14</v>
      </c>
      <c r="M900" s="34" t="e">
        <f t="shared" si="105"/>
        <v>#DIV/0!</v>
      </c>
      <c r="N900" s="27"/>
      <c r="O900" s="34" t="e">
        <f t="shared" si="109"/>
        <v>#DIV/0!</v>
      </c>
      <c r="P900" s="35" t="e">
        <f t="shared" si="107"/>
        <v>#VALUE!</v>
      </c>
      <c r="Q900" s="34" t="e">
        <f t="shared" ref="Q900:Q912" si="110">O900*1.5</f>
        <v>#DIV/0!</v>
      </c>
      <c r="R900" s="35"/>
    </row>
    <row r="901" spans="1:18" hidden="1" x14ac:dyDescent="0.3">
      <c r="A901" s="37" t="s">
        <v>77</v>
      </c>
      <c r="B901" s="33" t="s">
        <v>61</v>
      </c>
      <c r="C901" s="34">
        <v>700.11</v>
      </c>
      <c r="D901" s="33">
        <v>24.1</v>
      </c>
      <c r="E901" s="33"/>
      <c r="F901" s="33">
        <v>771.2</v>
      </c>
      <c r="G901" s="34">
        <v>71.09</v>
      </c>
      <c r="H901" s="34">
        <v>0</v>
      </c>
      <c r="I901" s="34">
        <v>771.2</v>
      </c>
      <c r="J901" s="34">
        <v>104.01</v>
      </c>
      <c r="K901" s="34">
        <v>875.21</v>
      </c>
      <c r="L901" s="33" t="s">
        <v>14</v>
      </c>
      <c r="M901" s="34" t="e">
        <f t="shared" si="105"/>
        <v>#DIV/0!</v>
      </c>
      <c r="N901" s="27"/>
      <c r="O901" s="34" t="e">
        <f t="shared" si="109"/>
        <v>#DIV/0!</v>
      </c>
      <c r="P901" s="35" t="e">
        <f t="shared" si="107"/>
        <v>#VALUE!</v>
      </c>
      <c r="Q901" s="34" t="e">
        <f t="shared" si="110"/>
        <v>#DIV/0!</v>
      </c>
      <c r="R901" s="35"/>
    </row>
    <row r="902" spans="1:18" x14ac:dyDescent="0.3">
      <c r="A902" s="32">
        <v>43973</v>
      </c>
      <c r="B902" s="33" t="s">
        <v>61</v>
      </c>
      <c r="C902" s="34">
        <v>1583.23</v>
      </c>
      <c r="D902" s="30">
        <v>56</v>
      </c>
      <c r="E902" s="35"/>
      <c r="F902" s="35">
        <v>1744</v>
      </c>
      <c r="G902" s="34">
        <v>160.77000000000001</v>
      </c>
      <c r="H902" s="34">
        <v>0</v>
      </c>
      <c r="I902" s="34">
        <v>1744</v>
      </c>
      <c r="J902" s="34">
        <v>235.21</v>
      </c>
      <c r="K902" s="34">
        <v>1979.21</v>
      </c>
      <c r="L902" s="33" t="s">
        <v>14</v>
      </c>
      <c r="M902" s="34">
        <f t="shared" si="105"/>
        <v>31.142857142857142</v>
      </c>
      <c r="N902" s="27">
        <v>56</v>
      </c>
      <c r="O902" s="34">
        <v>0</v>
      </c>
      <c r="P902" s="35">
        <f t="shared" si="107"/>
        <v>0</v>
      </c>
      <c r="Q902" s="40">
        <f t="shared" ref="Q902:Q909" si="111">O902*2</f>
        <v>0</v>
      </c>
      <c r="R902" s="35"/>
    </row>
    <row r="903" spans="1:18" x14ac:dyDescent="0.3">
      <c r="A903" s="32">
        <v>43987</v>
      </c>
      <c r="B903" s="33" t="s">
        <v>61</v>
      </c>
      <c r="C903" s="34">
        <v>3661.13</v>
      </c>
      <c r="D903" s="33">
        <v>109.5</v>
      </c>
      <c r="E903" s="35"/>
      <c r="F903" s="49">
        <v>4100.25</v>
      </c>
      <c r="G903" s="34">
        <v>633.27</v>
      </c>
      <c r="H903" s="34">
        <v>0</v>
      </c>
      <c r="I903" s="34">
        <v>4294.3999999999996</v>
      </c>
      <c r="J903" s="34">
        <v>518.95000000000005</v>
      </c>
      <c r="K903" s="34">
        <v>4813.3500000000004</v>
      </c>
      <c r="L903" s="33" t="s">
        <v>14</v>
      </c>
      <c r="M903" s="34">
        <f t="shared" si="105"/>
        <v>37.106334841628957</v>
      </c>
      <c r="N903" s="27">
        <v>110.5</v>
      </c>
      <c r="O903" s="38">
        <f>(M903*0.5)*1</f>
        <v>18.553167420814479</v>
      </c>
      <c r="P903" s="35">
        <f t="shared" si="107"/>
        <v>2.41</v>
      </c>
      <c r="Q903" s="40">
        <f t="shared" si="111"/>
        <v>37.106334841628957</v>
      </c>
      <c r="R903" s="35"/>
    </row>
    <row r="904" spans="1:18" x14ac:dyDescent="0.3">
      <c r="A904" s="32">
        <v>43995</v>
      </c>
      <c r="B904" s="33" t="s">
        <v>61</v>
      </c>
      <c r="C904" s="34">
        <v>3206.19</v>
      </c>
      <c r="D904" s="30">
        <v>87</v>
      </c>
      <c r="E904" s="35"/>
      <c r="F904" s="49">
        <v>4149.75</v>
      </c>
      <c r="G904" s="34"/>
      <c r="H904" s="34"/>
      <c r="I904" s="34"/>
      <c r="J904" s="34"/>
      <c r="K904" s="34"/>
      <c r="L904" s="33"/>
      <c r="M904" s="38">
        <v>34.39</v>
      </c>
      <c r="N904" s="27">
        <v>87</v>
      </c>
      <c r="O904" s="42">
        <v>0</v>
      </c>
      <c r="P904" s="35">
        <f t="shared" si="107"/>
        <v>0</v>
      </c>
      <c r="Q904" s="40">
        <f t="shared" si="111"/>
        <v>0</v>
      </c>
      <c r="R904" s="35"/>
    </row>
    <row r="905" spans="1:18" x14ac:dyDescent="0.3">
      <c r="A905" s="32">
        <v>44009</v>
      </c>
      <c r="B905" s="33" t="s">
        <v>61</v>
      </c>
      <c r="C905" s="34">
        <v>2780.49</v>
      </c>
      <c r="D905" s="31">
        <v>93</v>
      </c>
      <c r="E905" s="35"/>
      <c r="F905" s="40">
        <v>3234</v>
      </c>
      <c r="G905" s="34"/>
      <c r="H905" s="34"/>
      <c r="I905" s="34"/>
      <c r="J905" s="34"/>
      <c r="K905" s="34"/>
      <c r="L905" s="33"/>
      <c r="M905" s="38">
        <v>34.39</v>
      </c>
      <c r="N905" s="27">
        <v>93</v>
      </c>
      <c r="O905" s="50">
        <f>(M905*1.5)*1</f>
        <v>51.585000000000001</v>
      </c>
      <c r="P905" s="35">
        <f t="shared" si="107"/>
        <v>6.19</v>
      </c>
      <c r="Q905" s="40">
        <f t="shared" si="111"/>
        <v>103.17</v>
      </c>
      <c r="R905" s="35"/>
    </row>
    <row r="906" spans="1:18" x14ac:dyDescent="0.3">
      <c r="A906" s="32">
        <v>44023</v>
      </c>
      <c r="B906" s="33" t="s">
        <v>61</v>
      </c>
      <c r="C906" s="34">
        <v>1878.41</v>
      </c>
      <c r="D906" s="31">
        <v>75</v>
      </c>
      <c r="E906" s="35"/>
      <c r="F906" s="40">
        <v>2475</v>
      </c>
      <c r="G906" s="34"/>
      <c r="H906" s="34"/>
      <c r="I906" s="34"/>
      <c r="J906" s="34"/>
      <c r="K906" s="34"/>
      <c r="L906" s="33"/>
      <c r="M906" s="38">
        <v>34.39</v>
      </c>
      <c r="N906" s="27">
        <v>75</v>
      </c>
      <c r="O906" s="50">
        <f>(M906*0.5)*2</f>
        <v>34.39</v>
      </c>
      <c r="P906" s="35">
        <f t="shared" si="107"/>
        <v>3.78</v>
      </c>
      <c r="Q906" s="40">
        <f t="shared" si="111"/>
        <v>68.78</v>
      </c>
      <c r="R906" s="35"/>
    </row>
    <row r="907" spans="1:18" x14ac:dyDescent="0.3">
      <c r="A907" s="32">
        <v>43903</v>
      </c>
      <c r="B907" s="33" t="s">
        <v>62</v>
      </c>
      <c r="C907" s="34">
        <v>720</v>
      </c>
      <c r="D907" s="30">
        <v>40</v>
      </c>
      <c r="E907" s="35"/>
      <c r="F907" s="35">
        <v>720</v>
      </c>
      <c r="G907" s="34">
        <v>73.739999999999995</v>
      </c>
      <c r="H907" s="34">
        <v>0</v>
      </c>
      <c r="I907" s="34">
        <v>793.74</v>
      </c>
      <c r="J907" s="34">
        <v>127.41</v>
      </c>
      <c r="K907" s="34">
        <v>921.15</v>
      </c>
      <c r="L907" s="33">
        <v>100202</v>
      </c>
      <c r="M907" s="34">
        <f t="shared" si="105"/>
        <v>18</v>
      </c>
      <c r="N907" s="27">
        <v>40</v>
      </c>
      <c r="O907" s="34">
        <v>0</v>
      </c>
      <c r="P907" s="35">
        <f t="shared" si="107"/>
        <v>0</v>
      </c>
      <c r="Q907" s="40">
        <f t="shared" si="111"/>
        <v>0</v>
      </c>
      <c r="R907" s="49">
        <v>556.29999999999995</v>
      </c>
    </row>
    <row r="908" spans="1:18" x14ac:dyDescent="0.3">
      <c r="A908" s="32">
        <v>43917</v>
      </c>
      <c r="B908" s="33" t="s">
        <v>62</v>
      </c>
      <c r="C908" s="34">
        <v>1588.31</v>
      </c>
      <c r="D908" s="36">
        <v>45</v>
      </c>
      <c r="E908" s="35"/>
      <c r="F908" s="49">
        <v>1763</v>
      </c>
      <c r="G908" s="34">
        <v>174.69</v>
      </c>
      <c r="H908" s="34">
        <v>0</v>
      </c>
      <c r="I908" s="34">
        <v>1763</v>
      </c>
      <c r="J908" s="34">
        <v>292.39999999999998</v>
      </c>
      <c r="K908" s="34">
        <v>2055.4</v>
      </c>
      <c r="L908" s="33">
        <v>100205</v>
      </c>
      <c r="M908" s="34">
        <f t="shared" si="105"/>
        <v>20.988095238095237</v>
      </c>
      <c r="N908" s="27">
        <v>84</v>
      </c>
      <c r="O908" s="38">
        <v>0</v>
      </c>
      <c r="P908" s="35">
        <f t="shared" si="107"/>
        <v>0</v>
      </c>
      <c r="Q908" s="40">
        <f t="shared" si="111"/>
        <v>0</v>
      </c>
      <c r="R908" s="35"/>
    </row>
    <row r="909" spans="1:18" x14ac:dyDescent="0.3">
      <c r="A909" s="32">
        <v>43931</v>
      </c>
      <c r="B909" s="33" t="s">
        <v>62</v>
      </c>
      <c r="C909" s="34">
        <v>738.36</v>
      </c>
      <c r="D909" s="30">
        <v>24</v>
      </c>
      <c r="E909" s="35"/>
      <c r="F909" s="35">
        <v>890</v>
      </c>
      <c r="G909" s="34">
        <v>81.64</v>
      </c>
      <c r="H909" s="34">
        <v>0</v>
      </c>
      <c r="I909" s="34">
        <v>820</v>
      </c>
      <c r="J909" s="34">
        <v>137.30000000000001</v>
      </c>
      <c r="K909" s="34">
        <v>957.3</v>
      </c>
      <c r="L909" s="33">
        <v>100208</v>
      </c>
      <c r="M909" s="34">
        <f t="shared" si="105"/>
        <v>37.083333333333336</v>
      </c>
      <c r="N909" s="27">
        <v>24</v>
      </c>
      <c r="O909" s="34">
        <v>0</v>
      </c>
      <c r="P909" s="35">
        <f t="shared" si="107"/>
        <v>0</v>
      </c>
      <c r="Q909" s="40">
        <f t="shared" si="111"/>
        <v>0</v>
      </c>
      <c r="R909" s="35"/>
    </row>
    <row r="910" spans="1:18" hidden="1" x14ac:dyDescent="0.3">
      <c r="A910" s="37" t="s">
        <v>77</v>
      </c>
      <c r="B910" s="33" t="s">
        <v>62</v>
      </c>
      <c r="C910" s="34">
        <v>500.23</v>
      </c>
      <c r="D910" s="33">
        <v>27.1</v>
      </c>
      <c r="E910" s="33"/>
      <c r="F910" s="33">
        <v>555.54999999999995</v>
      </c>
      <c r="G910" s="34">
        <v>55.32</v>
      </c>
      <c r="H910" s="34">
        <v>0</v>
      </c>
      <c r="I910" s="34">
        <v>555.54999999999995</v>
      </c>
      <c r="J910" s="34">
        <v>96.05</v>
      </c>
      <c r="K910" s="34">
        <v>651.6</v>
      </c>
      <c r="L910" s="33">
        <v>100211</v>
      </c>
      <c r="M910" s="34" t="e">
        <f t="shared" si="105"/>
        <v>#DIV/0!</v>
      </c>
      <c r="N910" s="27"/>
      <c r="O910" s="34" t="e">
        <f t="shared" si="109"/>
        <v>#DIV/0!</v>
      </c>
      <c r="P910" s="35" t="e">
        <f t="shared" si="107"/>
        <v>#VALUE!</v>
      </c>
      <c r="Q910" s="34" t="e">
        <f t="shared" si="110"/>
        <v>#DIV/0!</v>
      </c>
      <c r="R910" s="35"/>
    </row>
    <row r="911" spans="1:18" hidden="1" x14ac:dyDescent="0.3">
      <c r="A911" s="37" t="s">
        <v>77</v>
      </c>
      <c r="B911" s="33" t="s">
        <v>62</v>
      </c>
      <c r="C911" s="34">
        <v>700.06</v>
      </c>
      <c r="D911" s="33">
        <v>37.92</v>
      </c>
      <c r="E911" s="33"/>
      <c r="F911" s="33">
        <v>777.46</v>
      </c>
      <c r="G911" s="34">
        <v>77.400000000000006</v>
      </c>
      <c r="H911" s="34">
        <v>0</v>
      </c>
      <c r="I911" s="34">
        <v>777.46</v>
      </c>
      <c r="J911" s="34">
        <v>134.38999999999999</v>
      </c>
      <c r="K911" s="34">
        <v>911.85</v>
      </c>
      <c r="L911" s="33">
        <v>100215</v>
      </c>
      <c r="M911" s="34" t="e">
        <f t="shared" si="105"/>
        <v>#DIV/0!</v>
      </c>
      <c r="N911" s="27"/>
      <c r="O911" s="34" t="e">
        <f t="shared" si="109"/>
        <v>#DIV/0!</v>
      </c>
      <c r="P911" s="35" t="e">
        <f t="shared" si="107"/>
        <v>#VALUE!</v>
      </c>
      <c r="Q911" s="34" t="e">
        <f t="shared" si="110"/>
        <v>#DIV/0!</v>
      </c>
      <c r="R911" s="35"/>
    </row>
    <row r="912" spans="1:18" hidden="1" x14ac:dyDescent="0.3">
      <c r="A912" s="37" t="s">
        <v>77</v>
      </c>
      <c r="B912" s="33" t="s">
        <v>62</v>
      </c>
      <c r="C912" s="34">
        <v>300</v>
      </c>
      <c r="D912" s="33">
        <v>16.25</v>
      </c>
      <c r="E912" s="33"/>
      <c r="F912" s="33">
        <v>333.17</v>
      </c>
      <c r="G912" s="34">
        <v>33.17</v>
      </c>
      <c r="H912" s="34">
        <v>0</v>
      </c>
      <c r="I912" s="34">
        <v>333.17</v>
      </c>
      <c r="J912" s="34">
        <v>57.61</v>
      </c>
      <c r="K912" s="34">
        <v>390.78</v>
      </c>
      <c r="L912" s="33">
        <v>100218</v>
      </c>
      <c r="M912" s="34" t="e">
        <f t="shared" si="105"/>
        <v>#DIV/0!</v>
      </c>
      <c r="N912" s="27"/>
      <c r="O912" s="34" t="e">
        <f t="shared" si="109"/>
        <v>#DIV/0!</v>
      </c>
      <c r="P912" s="35" t="e">
        <f t="shared" si="107"/>
        <v>#VALUE!</v>
      </c>
      <c r="Q912" s="34" t="e">
        <f t="shared" si="110"/>
        <v>#DIV/0!</v>
      </c>
      <c r="R912" s="35"/>
    </row>
    <row r="913" spans="1:18" x14ac:dyDescent="0.3">
      <c r="A913" s="32">
        <v>43987</v>
      </c>
      <c r="B913" s="33" t="s">
        <v>62</v>
      </c>
      <c r="C913" s="34">
        <v>886.03</v>
      </c>
      <c r="D913" s="30">
        <v>48</v>
      </c>
      <c r="E913" s="35"/>
      <c r="F913" s="35">
        <v>984</v>
      </c>
      <c r="G913" s="34">
        <v>97.97</v>
      </c>
      <c r="H913" s="34">
        <v>0</v>
      </c>
      <c r="I913" s="34">
        <v>984</v>
      </c>
      <c r="J913" s="34">
        <v>170.11</v>
      </c>
      <c r="K913" s="34">
        <v>1154.1099999999999</v>
      </c>
      <c r="L913" s="33">
        <v>100221</v>
      </c>
      <c r="M913" s="34">
        <f t="shared" si="105"/>
        <v>20.5</v>
      </c>
      <c r="N913" s="27">
        <v>48</v>
      </c>
      <c r="O913" s="34">
        <v>0</v>
      </c>
      <c r="P913" s="35">
        <f t="shared" si="107"/>
        <v>0</v>
      </c>
      <c r="Q913" s="40">
        <f t="shared" ref="Q913:Q915" si="112">O913*2</f>
        <v>0</v>
      </c>
      <c r="R913" s="35"/>
    </row>
    <row r="914" spans="1:18" x14ac:dyDescent="0.3">
      <c r="A914" s="32">
        <v>44009</v>
      </c>
      <c r="B914" s="33" t="s">
        <v>62</v>
      </c>
      <c r="C914" s="33">
        <v>1900.03</v>
      </c>
      <c r="D914" s="30">
        <v>89</v>
      </c>
      <c r="E914" s="35"/>
      <c r="F914" s="35">
        <v>2103.75</v>
      </c>
      <c r="G914" s="33"/>
      <c r="H914" s="34"/>
      <c r="I914" s="33"/>
      <c r="J914" s="33"/>
      <c r="K914" s="33"/>
      <c r="L914" s="33"/>
      <c r="M914" s="35">
        <v>24.14</v>
      </c>
      <c r="N914" s="27">
        <v>89</v>
      </c>
      <c r="O914" s="34">
        <v>0</v>
      </c>
      <c r="P914" s="35">
        <f>ROUND(((ROUNDDOWN(($W$1-A914)/30,0))/100)*O914,2)</f>
        <v>0</v>
      </c>
      <c r="Q914" s="40">
        <f t="shared" si="112"/>
        <v>0</v>
      </c>
      <c r="R914" s="35"/>
    </row>
    <row r="915" spans="1:18" x14ac:dyDescent="0.3">
      <c r="A915" s="32">
        <v>44023</v>
      </c>
      <c r="B915" s="33" t="s">
        <v>62</v>
      </c>
      <c r="C915" s="33">
        <v>2236.61</v>
      </c>
      <c r="D915" s="30">
        <v>106.5</v>
      </c>
      <c r="E915" s="35"/>
      <c r="F915" s="35">
        <v>2694.38</v>
      </c>
      <c r="G915" s="33"/>
      <c r="H915" s="33"/>
      <c r="I915" s="33"/>
      <c r="J915" s="33"/>
      <c r="K915" s="33"/>
      <c r="L915" s="33"/>
      <c r="M915" s="35">
        <v>24.14</v>
      </c>
      <c r="N915" s="27">
        <v>106.5</v>
      </c>
      <c r="O915" s="34">
        <v>0</v>
      </c>
      <c r="P915" s="35">
        <f>ROUND(((ROUNDDOWN(($W$1-A915)/30,0))/100)*O915,2)</f>
        <v>0</v>
      </c>
      <c r="Q915" s="40">
        <f t="shared" si="112"/>
        <v>0</v>
      </c>
      <c r="R915" s="33"/>
    </row>
    <row r="916" spans="1:18" x14ac:dyDescent="0.3">
      <c r="A916" s="33"/>
      <c r="B916" s="33"/>
      <c r="C916" s="33"/>
      <c r="D916" s="33"/>
      <c r="E916" s="35"/>
      <c r="F916" s="35"/>
      <c r="G916" s="33"/>
      <c r="H916" s="33"/>
      <c r="I916" s="33"/>
      <c r="J916" s="33"/>
      <c r="K916" s="33"/>
      <c r="L916" s="33"/>
      <c r="M916" s="35"/>
      <c r="N916" s="27"/>
      <c r="O916" s="54">
        <f>SUBTOTAL(9,O2:O915)</f>
        <v>459799.91725738428</v>
      </c>
      <c r="P916" s="54">
        <f>SUBTOTAL(9,P2:P915)</f>
        <v>123897.10000000002</v>
      </c>
      <c r="Q916" s="54">
        <f>SUBTOTAL(9,Q2:Q915)</f>
        <v>919599.83451476856</v>
      </c>
      <c r="R916" s="54">
        <f>SUBTOTAL(9,R2:R915)</f>
        <v>28927.599999999977</v>
      </c>
    </row>
    <row r="917" spans="1:18" x14ac:dyDescent="0.3">
      <c r="A917" s="33"/>
      <c r="B917" s="33"/>
      <c r="C917" s="33"/>
      <c r="D917" s="33"/>
      <c r="E917" s="35"/>
      <c r="F917" s="35"/>
      <c r="G917" s="33"/>
      <c r="H917" s="33"/>
      <c r="I917" s="33"/>
      <c r="J917" s="33"/>
      <c r="K917" s="33"/>
      <c r="L917" s="33"/>
      <c r="M917" s="33"/>
      <c r="N917" s="27"/>
      <c r="O917" s="33"/>
      <c r="P917" s="33"/>
      <c r="Q917" s="33"/>
      <c r="R917" s="33"/>
    </row>
    <row r="918" spans="1:18" x14ac:dyDescent="0.3">
      <c r="A918" s="33"/>
      <c r="B918" s="33"/>
      <c r="C918" s="33"/>
      <c r="D918" s="33"/>
      <c r="E918" s="35"/>
      <c r="F918" s="35"/>
      <c r="G918" s="33"/>
      <c r="H918" s="33"/>
      <c r="I918" s="33"/>
      <c r="J918" s="33"/>
      <c r="K918" s="33"/>
      <c r="L918" s="33"/>
      <c r="M918" s="33"/>
      <c r="N918" s="27"/>
      <c r="O918" s="33"/>
      <c r="P918" s="33"/>
      <c r="Q918" s="33"/>
      <c r="R918" s="33"/>
    </row>
    <row r="919" spans="1:18" x14ac:dyDescent="0.3">
      <c r="A919" s="33"/>
      <c r="B919" s="33"/>
      <c r="C919" s="33"/>
      <c r="D919" s="33"/>
      <c r="E919" s="35"/>
      <c r="F919" s="35"/>
      <c r="G919" s="33"/>
      <c r="H919" s="33"/>
      <c r="I919" s="33"/>
      <c r="J919" s="33"/>
      <c r="K919" s="33"/>
      <c r="L919" s="33"/>
      <c r="M919" s="33"/>
      <c r="N919" s="27"/>
      <c r="O919" s="33"/>
      <c r="P919" s="33"/>
      <c r="Q919" s="33"/>
      <c r="R919" s="33"/>
    </row>
    <row r="920" spans="1:18" x14ac:dyDescent="0.3">
      <c r="A920" s="33"/>
      <c r="B920" s="33"/>
      <c r="C920" s="33"/>
      <c r="D920" s="33"/>
      <c r="E920" s="35"/>
      <c r="F920" s="35"/>
      <c r="G920" s="33"/>
      <c r="H920" s="33"/>
      <c r="I920" s="33"/>
      <c r="J920" s="33"/>
      <c r="K920" s="33"/>
      <c r="L920" s="33"/>
      <c r="M920" s="33"/>
      <c r="N920" s="27"/>
      <c r="O920" s="33"/>
      <c r="P920" s="33"/>
      <c r="Q920" s="33"/>
      <c r="R920" s="33"/>
    </row>
    <row r="921" spans="1:18" x14ac:dyDescent="0.3">
      <c r="C921" s="33"/>
      <c r="D921" s="33"/>
      <c r="E921" s="35"/>
      <c r="F921" s="35"/>
      <c r="G921" s="33"/>
      <c r="H921" s="33"/>
      <c r="I921" s="33"/>
      <c r="J921" s="33"/>
      <c r="K921" s="33"/>
      <c r="L921" s="33"/>
      <c r="M921" s="33"/>
      <c r="N921" s="27"/>
      <c r="O921" s="33"/>
      <c r="P921" s="33"/>
      <c r="Q921" s="33"/>
      <c r="R921" s="33"/>
    </row>
    <row r="922" spans="1:18" x14ac:dyDescent="0.3">
      <c r="C922" s="43"/>
      <c r="D922" s="33"/>
      <c r="E922" s="35"/>
      <c r="F922" s="35"/>
      <c r="G922" s="33"/>
      <c r="H922" s="33"/>
      <c r="I922" s="33"/>
      <c r="J922" s="33"/>
      <c r="K922" s="33"/>
      <c r="L922" s="33"/>
      <c r="M922" s="33"/>
      <c r="N922" s="27"/>
      <c r="O922" s="33"/>
      <c r="P922" s="33"/>
      <c r="Q922" s="33"/>
      <c r="R922" s="33"/>
    </row>
    <row r="923" spans="1:18" x14ac:dyDescent="0.3">
      <c r="C923" s="43"/>
      <c r="D923" s="33"/>
      <c r="E923" s="35"/>
      <c r="F923" s="35"/>
      <c r="G923" s="33"/>
      <c r="H923" s="33"/>
      <c r="I923" s="33"/>
      <c r="J923" s="33"/>
      <c r="K923" s="33"/>
      <c r="L923" s="33"/>
      <c r="M923" s="33"/>
      <c r="N923" s="27"/>
      <c r="O923" s="33"/>
      <c r="P923" s="33"/>
      <c r="Q923" s="33"/>
      <c r="R923" s="33"/>
    </row>
    <row r="924" spans="1:18" x14ac:dyDescent="0.3">
      <c r="C924" s="43"/>
      <c r="D924" s="33"/>
      <c r="E924" s="35"/>
      <c r="F924" s="35"/>
      <c r="G924" s="33"/>
      <c r="H924" s="33"/>
      <c r="I924" s="33"/>
      <c r="J924" s="33"/>
      <c r="K924" s="33"/>
      <c r="L924" s="33"/>
      <c r="M924" s="33"/>
      <c r="N924" s="27"/>
      <c r="O924" s="33"/>
      <c r="P924" s="33"/>
      <c r="Q924" s="33"/>
      <c r="R924" s="33"/>
    </row>
    <row r="925" spans="1:18" x14ac:dyDescent="0.3">
      <c r="C925" s="43"/>
      <c r="D925" s="33"/>
      <c r="E925" s="35"/>
      <c r="F925" s="35"/>
      <c r="G925" s="33"/>
      <c r="H925" s="33"/>
      <c r="I925" s="33"/>
      <c r="J925" s="33"/>
      <c r="K925" s="33"/>
      <c r="L925" s="33"/>
      <c r="M925" s="33"/>
      <c r="N925" s="27"/>
      <c r="O925" s="33"/>
      <c r="P925" s="33"/>
      <c r="Q925" s="33"/>
      <c r="R925" s="33"/>
    </row>
    <row r="926" spans="1:18" x14ac:dyDescent="0.3">
      <c r="C926" s="43"/>
      <c r="D926" s="33"/>
      <c r="E926" s="35"/>
      <c r="F926" s="35"/>
      <c r="G926" s="33"/>
      <c r="H926" s="33"/>
      <c r="I926" s="33"/>
      <c r="J926" s="33"/>
      <c r="K926" s="33"/>
      <c r="L926" s="33"/>
      <c r="M926" s="33"/>
      <c r="N926" s="27"/>
      <c r="O926" s="33"/>
      <c r="P926" s="33"/>
      <c r="Q926" s="33"/>
      <c r="R926" s="33"/>
    </row>
    <row r="927" spans="1:18" x14ac:dyDescent="0.3">
      <c r="A927" s="43"/>
      <c r="B927" s="55"/>
      <c r="C927" s="43"/>
      <c r="D927" s="33"/>
      <c r="E927" s="35"/>
      <c r="F927" s="35"/>
      <c r="G927" s="33"/>
      <c r="H927" s="33"/>
      <c r="I927" s="33"/>
      <c r="J927" s="33"/>
      <c r="K927" s="33"/>
      <c r="L927" s="33"/>
      <c r="M927" s="33"/>
      <c r="N927" s="27"/>
      <c r="O927" s="33"/>
      <c r="P927" s="33"/>
      <c r="Q927" s="33"/>
      <c r="R927" s="33"/>
    </row>
    <row r="928" spans="1:18" x14ac:dyDescent="0.3">
      <c r="A928" s="43"/>
      <c r="B928" s="55"/>
      <c r="C928" s="43"/>
      <c r="D928" s="33"/>
      <c r="E928" s="35"/>
      <c r="F928" s="35"/>
      <c r="G928" s="33"/>
      <c r="H928" s="33"/>
      <c r="I928" s="33"/>
      <c r="J928" s="33"/>
      <c r="K928" s="33"/>
      <c r="L928" s="33"/>
      <c r="M928" s="33"/>
      <c r="N928" s="27"/>
      <c r="O928" s="33"/>
      <c r="P928" s="33"/>
      <c r="Q928" s="33"/>
      <c r="R928" s="33"/>
    </row>
    <row r="929" spans="1:18" x14ac:dyDescent="0.3">
      <c r="A929" s="43"/>
      <c r="B929" s="43"/>
      <c r="C929" s="43"/>
      <c r="D929" s="33"/>
      <c r="E929" s="35"/>
      <c r="F929" s="35"/>
      <c r="G929" s="33"/>
      <c r="H929" s="33"/>
      <c r="I929" s="33"/>
      <c r="J929" s="33"/>
      <c r="K929" s="33"/>
      <c r="L929" s="33"/>
      <c r="M929" s="33"/>
      <c r="N929" s="27"/>
      <c r="O929" s="33"/>
      <c r="P929" s="33"/>
      <c r="Q929" s="33"/>
      <c r="R929" s="33"/>
    </row>
    <row r="930" spans="1:18" x14ac:dyDescent="0.3">
      <c r="A930" s="43"/>
      <c r="B930" s="43"/>
      <c r="C930" s="43"/>
      <c r="D930" s="33"/>
      <c r="E930" s="35"/>
      <c r="F930" s="35"/>
      <c r="G930" s="33"/>
      <c r="H930" s="33"/>
      <c r="I930" s="33"/>
      <c r="J930" s="33"/>
      <c r="K930" s="33"/>
      <c r="L930" s="33"/>
      <c r="M930" s="33"/>
      <c r="N930" s="27"/>
      <c r="O930" s="33"/>
      <c r="P930" s="33"/>
      <c r="Q930" s="33"/>
      <c r="R930" s="33"/>
    </row>
    <row r="931" spans="1:18" x14ac:dyDescent="0.3">
      <c r="A931" s="43"/>
      <c r="B931" s="43"/>
      <c r="C931" s="43"/>
      <c r="D931" s="33"/>
      <c r="E931" s="35"/>
      <c r="F931" s="35"/>
      <c r="G931" s="33"/>
      <c r="H931" s="33"/>
      <c r="I931" s="33"/>
      <c r="J931" s="33"/>
      <c r="K931" s="33"/>
      <c r="L931" s="33"/>
      <c r="M931" s="33"/>
      <c r="N931" s="27"/>
      <c r="O931" s="33"/>
      <c r="P931" s="33"/>
      <c r="Q931" s="33"/>
      <c r="R931" s="33"/>
    </row>
    <row r="932" spans="1:18" x14ac:dyDescent="0.3">
      <c r="A932" s="43"/>
      <c r="B932" s="43"/>
      <c r="C932" s="43"/>
      <c r="D932" s="33"/>
      <c r="E932" s="35"/>
      <c r="F932" s="35"/>
      <c r="G932" s="33"/>
      <c r="H932" s="33"/>
      <c r="I932" s="33"/>
      <c r="J932" s="33"/>
      <c r="K932" s="33"/>
      <c r="L932" s="33"/>
      <c r="M932" s="33"/>
      <c r="N932" s="27"/>
      <c r="O932" s="33"/>
      <c r="P932" s="33"/>
      <c r="Q932" s="33"/>
      <c r="R932" s="33"/>
    </row>
    <row r="933" spans="1:18" x14ac:dyDescent="0.3">
      <c r="A933" s="43"/>
      <c r="B933" s="43"/>
      <c r="C933" s="43"/>
      <c r="D933" s="33"/>
      <c r="E933" s="35"/>
      <c r="F933" s="35"/>
      <c r="G933" s="33"/>
      <c r="H933" s="33"/>
      <c r="I933" s="33"/>
      <c r="J933" s="33"/>
      <c r="K933" s="33"/>
      <c r="L933" s="33"/>
      <c r="M933" s="33"/>
      <c r="N933" s="27"/>
      <c r="O933" s="33"/>
      <c r="P933" s="33"/>
      <c r="Q933" s="33"/>
      <c r="R933" s="33"/>
    </row>
    <row r="934" spans="1:18" x14ac:dyDescent="0.3">
      <c r="A934" s="43"/>
      <c r="B934" s="43"/>
      <c r="C934" s="43"/>
      <c r="D934" s="33"/>
      <c r="E934" s="35"/>
      <c r="F934" s="35"/>
      <c r="G934" s="33"/>
      <c r="H934" s="33"/>
      <c r="I934" s="33"/>
      <c r="J934" s="33"/>
      <c r="K934" s="33"/>
      <c r="L934" s="33"/>
      <c r="M934" s="33"/>
      <c r="N934" s="27"/>
      <c r="O934" s="33"/>
      <c r="P934" s="33"/>
      <c r="Q934" s="33"/>
      <c r="R934" s="33"/>
    </row>
    <row r="935" spans="1:18" x14ac:dyDescent="0.3">
      <c r="A935" s="33"/>
      <c r="B935" s="33"/>
      <c r="C935" s="33"/>
      <c r="D935" s="33"/>
      <c r="E935" s="35"/>
      <c r="F935" s="35"/>
      <c r="G935" s="33"/>
      <c r="H935" s="33"/>
      <c r="I935" s="33"/>
      <c r="J935" s="33"/>
      <c r="K935" s="33"/>
      <c r="L935" s="33"/>
      <c r="M935" s="33"/>
      <c r="N935" s="27"/>
      <c r="O935" s="33"/>
      <c r="P935" s="33"/>
      <c r="Q935" s="33"/>
      <c r="R935" s="33"/>
    </row>
    <row r="936" spans="1:18" x14ac:dyDescent="0.3">
      <c r="A936" s="33"/>
      <c r="B936" s="33"/>
      <c r="C936" s="33"/>
      <c r="D936" s="33"/>
      <c r="E936" s="35"/>
      <c r="F936" s="35"/>
      <c r="G936" s="33"/>
      <c r="H936" s="33"/>
      <c r="I936" s="33"/>
      <c r="J936" s="33"/>
      <c r="K936" s="33"/>
      <c r="L936" s="33"/>
      <c r="M936" s="33"/>
      <c r="N936" s="27"/>
      <c r="O936" s="33"/>
      <c r="P936" s="33"/>
      <c r="Q936" s="33"/>
      <c r="R936" s="33"/>
    </row>
    <row r="937" spans="1:18" x14ac:dyDescent="0.3">
      <c r="A937" s="33"/>
      <c r="B937" s="33"/>
      <c r="C937" s="33"/>
      <c r="D937" s="33"/>
      <c r="E937" s="35"/>
      <c r="F937" s="35"/>
      <c r="G937" s="33"/>
      <c r="H937" s="33"/>
      <c r="I937" s="33"/>
      <c r="J937" s="33"/>
      <c r="K937" s="33"/>
      <c r="L937" s="33"/>
      <c r="M937" s="33"/>
      <c r="N937" s="27"/>
      <c r="O937" s="33"/>
      <c r="P937" s="33"/>
      <c r="Q937" s="33"/>
      <c r="R937" s="33"/>
    </row>
    <row r="938" spans="1:18" x14ac:dyDescent="0.3">
      <c r="A938" s="33"/>
      <c r="B938" s="33"/>
      <c r="C938" s="33"/>
      <c r="D938" s="33"/>
      <c r="E938" s="35"/>
      <c r="F938" s="35"/>
      <c r="G938" s="33"/>
      <c r="H938" s="33"/>
      <c r="I938" s="33"/>
      <c r="J938" s="33"/>
      <c r="K938" s="33"/>
      <c r="L938" s="33"/>
      <c r="M938" s="33"/>
      <c r="N938" s="27"/>
      <c r="O938" s="33"/>
      <c r="P938" s="33"/>
      <c r="Q938" s="33"/>
      <c r="R938" s="33"/>
    </row>
    <row r="939" spans="1:18" x14ac:dyDescent="0.3">
      <c r="A939" s="33"/>
      <c r="B939" s="33"/>
      <c r="C939" s="33"/>
      <c r="D939" s="33"/>
      <c r="E939" s="35"/>
      <c r="F939" s="35"/>
      <c r="G939" s="33"/>
      <c r="H939" s="33"/>
      <c r="I939" s="33"/>
      <c r="J939" s="33"/>
      <c r="K939" s="33"/>
      <c r="L939" s="33"/>
      <c r="M939" s="33"/>
      <c r="N939" s="27"/>
      <c r="O939" s="33"/>
      <c r="P939" s="33"/>
      <c r="Q939" s="33"/>
      <c r="R939" s="33"/>
    </row>
    <row r="940" spans="1:18" x14ac:dyDescent="0.3">
      <c r="A940" s="33"/>
      <c r="B940" s="33"/>
      <c r="C940" s="33"/>
      <c r="D940" s="33"/>
      <c r="E940" s="35"/>
      <c r="F940" s="35"/>
      <c r="G940" s="33"/>
      <c r="H940" s="33"/>
      <c r="I940" s="33"/>
      <c r="J940" s="33"/>
      <c r="K940" s="33"/>
      <c r="L940" s="33"/>
      <c r="M940" s="33"/>
      <c r="N940" s="27"/>
      <c r="O940" s="33"/>
      <c r="P940" s="33"/>
      <c r="Q940" s="33"/>
      <c r="R940" s="33"/>
    </row>
    <row r="941" spans="1:18" x14ac:dyDescent="0.3">
      <c r="A941" s="33"/>
      <c r="B941" s="33"/>
      <c r="C941" s="33"/>
      <c r="D941" s="33"/>
      <c r="E941" s="35"/>
      <c r="F941" s="35"/>
      <c r="G941" s="33"/>
      <c r="H941" s="33"/>
      <c r="I941" s="33"/>
      <c r="J941" s="33"/>
      <c r="K941" s="33"/>
      <c r="L941" s="33"/>
      <c r="M941" s="33"/>
      <c r="N941" s="27"/>
      <c r="O941" s="33"/>
      <c r="P941" s="33"/>
      <c r="Q941" s="33"/>
      <c r="R941" s="33"/>
    </row>
    <row r="942" spans="1:18" x14ac:dyDescent="0.3">
      <c r="A942" s="33"/>
      <c r="B942" s="33"/>
      <c r="C942" s="33"/>
      <c r="D942" s="33"/>
      <c r="E942" s="35"/>
      <c r="F942" s="35"/>
      <c r="G942" s="33"/>
      <c r="H942" s="33"/>
      <c r="I942" s="33"/>
      <c r="J942" s="33"/>
      <c r="K942" s="33"/>
      <c r="L942" s="33"/>
      <c r="M942" s="33"/>
      <c r="N942" s="27"/>
      <c r="O942" s="33"/>
      <c r="P942" s="33"/>
      <c r="Q942" s="33"/>
      <c r="R942" s="33"/>
    </row>
    <row r="943" spans="1:18" x14ac:dyDescent="0.3">
      <c r="A943" s="33"/>
      <c r="B943" s="33"/>
      <c r="C943" s="33"/>
      <c r="D943" s="33"/>
      <c r="E943" s="35"/>
      <c r="F943" s="35"/>
      <c r="G943" s="33"/>
      <c r="H943" s="33"/>
      <c r="I943" s="33"/>
      <c r="J943" s="33"/>
      <c r="K943" s="33"/>
      <c r="L943" s="33"/>
      <c r="M943" s="33"/>
      <c r="N943" s="27"/>
      <c r="O943" s="33"/>
      <c r="P943" s="33"/>
      <c r="Q943" s="33"/>
      <c r="R943" s="33"/>
    </row>
    <row r="944" spans="1:18" x14ac:dyDescent="0.3">
      <c r="A944" s="33"/>
      <c r="B944" s="33"/>
      <c r="C944" s="33"/>
      <c r="D944" s="33"/>
      <c r="E944" s="35"/>
      <c r="F944" s="35"/>
      <c r="G944" s="33"/>
      <c r="H944" s="33"/>
      <c r="I944" s="33"/>
      <c r="J944" s="33"/>
      <c r="K944" s="33"/>
      <c r="L944" s="33"/>
      <c r="M944" s="33"/>
      <c r="N944" s="27"/>
      <c r="O944" s="33"/>
      <c r="P944" s="33"/>
      <c r="Q944" s="33"/>
      <c r="R944" s="33"/>
    </row>
    <row r="945" spans="1:18" x14ac:dyDescent="0.3">
      <c r="A945" s="33"/>
      <c r="B945" s="33"/>
      <c r="C945" s="33"/>
      <c r="D945" s="33"/>
      <c r="E945" s="35"/>
      <c r="F945" s="35"/>
      <c r="G945" s="33"/>
      <c r="H945" s="33"/>
      <c r="I945" s="33"/>
      <c r="J945" s="33"/>
      <c r="K945" s="33"/>
      <c r="L945" s="33"/>
      <c r="M945" s="33"/>
      <c r="N945" s="27"/>
      <c r="O945" s="33"/>
      <c r="P945" s="33"/>
      <c r="Q945" s="33"/>
      <c r="R945" s="33"/>
    </row>
    <row r="946" spans="1:18" x14ac:dyDescent="0.3">
      <c r="A946" s="33"/>
      <c r="B946" s="33"/>
      <c r="C946" s="33"/>
      <c r="D946" s="33"/>
      <c r="E946" s="35"/>
      <c r="F946" s="35"/>
      <c r="G946" s="33"/>
      <c r="H946" s="33"/>
      <c r="I946" s="33"/>
      <c r="J946" s="33"/>
      <c r="K946" s="33"/>
      <c r="L946" s="33"/>
      <c r="M946" s="33"/>
      <c r="N946" s="27"/>
      <c r="O946" s="33"/>
      <c r="P946" s="33"/>
      <c r="Q946" s="33"/>
      <c r="R946" s="33"/>
    </row>
    <row r="947" spans="1:18" x14ac:dyDescent="0.3">
      <c r="A947" s="33"/>
      <c r="B947" s="33"/>
      <c r="C947" s="33"/>
      <c r="D947" s="33"/>
      <c r="E947" s="35"/>
      <c r="F947" s="35"/>
      <c r="G947" s="33"/>
      <c r="H947" s="33"/>
      <c r="I947" s="33"/>
      <c r="J947" s="33"/>
      <c r="K947" s="33"/>
      <c r="L947" s="33"/>
      <c r="M947" s="33"/>
      <c r="N947" s="27"/>
      <c r="O947" s="33"/>
      <c r="P947" s="33"/>
      <c r="Q947" s="33"/>
      <c r="R947" s="33"/>
    </row>
    <row r="948" spans="1:18" x14ac:dyDescent="0.3">
      <c r="A948" s="33"/>
      <c r="B948" s="33"/>
      <c r="C948" s="33"/>
      <c r="D948" s="33"/>
      <c r="E948" s="35"/>
      <c r="F948" s="35"/>
      <c r="G948" s="33"/>
      <c r="H948" s="33"/>
      <c r="I948" s="33"/>
      <c r="J948" s="33"/>
      <c r="K948" s="33"/>
      <c r="L948" s="33"/>
      <c r="M948" s="33"/>
      <c r="N948" s="27"/>
      <c r="O948" s="33"/>
      <c r="P948" s="33"/>
      <c r="Q948" s="33"/>
      <c r="R948" s="33"/>
    </row>
    <row r="949" spans="1:18" x14ac:dyDescent="0.3">
      <c r="A949" s="33"/>
      <c r="B949" s="33"/>
      <c r="C949" s="33"/>
      <c r="D949" s="33"/>
      <c r="E949" s="35"/>
      <c r="F949" s="35"/>
      <c r="G949" s="33"/>
      <c r="H949" s="33"/>
      <c r="I949" s="33"/>
      <c r="J949" s="33"/>
      <c r="K949" s="33"/>
      <c r="L949" s="33"/>
      <c r="M949" s="33"/>
      <c r="N949" s="27"/>
      <c r="O949" s="33"/>
      <c r="P949" s="33"/>
      <c r="Q949" s="33"/>
      <c r="R949" s="33"/>
    </row>
    <row r="950" spans="1:18" x14ac:dyDescent="0.3">
      <c r="A950" s="33"/>
      <c r="B950" s="33"/>
      <c r="C950" s="33"/>
      <c r="D950" s="33"/>
      <c r="E950" s="35"/>
      <c r="F950" s="35"/>
      <c r="G950" s="33"/>
      <c r="H950" s="33"/>
      <c r="I950" s="33"/>
      <c r="J950" s="33"/>
      <c r="K950" s="33"/>
      <c r="L950" s="33"/>
      <c r="M950" s="33"/>
      <c r="N950" s="27"/>
      <c r="O950" s="33"/>
      <c r="P950" s="33"/>
      <c r="Q950" s="33"/>
      <c r="R950" s="33"/>
    </row>
    <row r="951" spans="1:18" x14ac:dyDescent="0.3">
      <c r="A951" s="33"/>
      <c r="B951" s="33"/>
      <c r="C951" s="33"/>
      <c r="D951" s="33"/>
      <c r="E951" s="35"/>
      <c r="F951" s="35"/>
      <c r="G951" s="33"/>
      <c r="H951" s="33"/>
      <c r="I951" s="33"/>
      <c r="J951" s="33"/>
      <c r="K951" s="33"/>
      <c r="L951" s="33"/>
      <c r="M951" s="33"/>
      <c r="N951" s="27"/>
      <c r="O951" s="33"/>
      <c r="P951" s="33"/>
      <c r="Q951" s="33"/>
      <c r="R951" s="33"/>
    </row>
    <row r="952" spans="1:18" x14ac:dyDescent="0.3">
      <c r="A952" s="33"/>
      <c r="B952" s="33"/>
      <c r="C952" s="33"/>
      <c r="D952" s="33"/>
      <c r="E952" s="35"/>
      <c r="F952" s="35"/>
      <c r="G952" s="33"/>
      <c r="H952" s="33"/>
      <c r="I952" s="33"/>
      <c r="J952" s="33"/>
      <c r="K952" s="33"/>
      <c r="L952" s="33"/>
      <c r="M952" s="33"/>
      <c r="N952" s="27"/>
      <c r="O952" s="33"/>
      <c r="P952" s="33"/>
      <c r="Q952" s="33"/>
      <c r="R952" s="33"/>
    </row>
    <row r="953" spans="1:18" x14ac:dyDescent="0.3">
      <c r="A953" s="33"/>
      <c r="B953" s="33"/>
      <c r="C953" s="33"/>
      <c r="D953" s="33"/>
      <c r="E953" s="35"/>
      <c r="F953" s="35"/>
      <c r="G953" s="33"/>
      <c r="H953" s="33"/>
      <c r="I953" s="33"/>
      <c r="J953" s="33"/>
      <c r="K953" s="33"/>
      <c r="L953" s="33"/>
      <c r="M953" s="33"/>
      <c r="N953" s="27"/>
      <c r="O953" s="33"/>
      <c r="P953" s="33"/>
      <c r="Q953" s="33"/>
      <c r="R953" s="33"/>
    </row>
    <row r="954" spans="1:18" x14ac:dyDescent="0.3">
      <c r="A954" s="33"/>
      <c r="B954" s="33"/>
      <c r="C954" s="33"/>
      <c r="D954" s="33"/>
      <c r="E954" s="35"/>
      <c r="F954" s="35"/>
      <c r="G954" s="33"/>
      <c r="H954" s="33"/>
      <c r="I954" s="33"/>
      <c r="J954" s="33"/>
      <c r="K954" s="33"/>
      <c r="L954" s="33"/>
      <c r="M954" s="33"/>
      <c r="N954" s="27"/>
      <c r="O954" s="33"/>
      <c r="P954" s="33"/>
      <c r="Q954" s="33"/>
      <c r="R954" s="33"/>
    </row>
    <row r="955" spans="1:18" x14ac:dyDescent="0.3">
      <c r="A955" s="33"/>
      <c r="B955" s="33"/>
      <c r="C955" s="33"/>
      <c r="D955" s="33"/>
      <c r="E955" s="35"/>
      <c r="F955" s="35"/>
      <c r="G955" s="33"/>
      <c r="H955" s="33"/>
      <c r="I955" s="33"/>
      <c r="J955" s="33"/>
      <c r="K955" s="33"/>
      <c r="L955" s="33"/>
      <c r="M955" s="33"/>
      <c r="N955" s="27"/>
      <c r="O955" s="33"/>
      <c r="P955" s="33"/>
      <c r="Q955" s="33"/>
      <c r="R955" s="33"/>
    </row>
    <row r="956" spans="1:18" x14ac:dyDescent="0.3">
      <c r="A956" s="33"/>
      <c r="B956" s="33"/>
      <c r="C956" s="33"/>
      <c r="D956" s="33"/>
      <c r="E956" s="35"/>
      <c r="F956" s="35"/>
      <c r="G956" s="33"/>
      <c r="H956" s="33"/>
      <c r="I956" s="33"/>
      <c r="J956" s="33"/>
      <c r="K956" s="33"/>
      <c r="L956" s="33"/>
      <c r="M956" s="33"/>
      <c r="N956" s="27"/>
      <c r="O956" s="33"/>
      <c r="P956" s="33"/>
      <c r="Q956" s="33"/>
      <c r="R956" s="33"/>
    </row>
    <row r="957" spans="1:18" x14ac:dyDescent="0.3">
      <c r="A957" s="33"/>
      <c r="B957" s="33"/>
      <c r="C957" s="33"/>
      <c r="D957" s="33"/>
      <c r="E957" s="35"/>
      <c r="F957" s="35"/>
      <c r="G957" s="33"/>
      <c r="H957" s="33"/>
      <c r="I957" s="33"/>
      <c r="J957" s="33"/>
      <c r="K957" s="33"/>
      <c r="L957" s="33"/>
      <c r="M957" s="33"/>
      <c r="N957" s="27"/>
      <c r="O957" s="33"/>
      <c r="P957" s="33"/>
      <c r="Q957" s="33"/>
      <c r="R957" s="33"/>
    </row>
    <row r="958" spans="1:18" x14ac:dyDescent="0.3">
      <c r="A958" s="33"/>
      <c r="B958" s="33"/>
      <c r="C958" s="33"/>
      <c r="D958" s="33"/>
      <c r="E958" s="35"/>
      <c r="F958" s="35"/>
      <c r="G958" s="33"/>
      <c r="H958" s="33"/>
      <c r="I958" s="33"/>
      <c r="J958" s="33"/>
      <c r="K958" s="33"/>
      <c r="L958" s="33"/>
      <c r="M958" s="33"/>
      <c r="N958" s="27"/>
      <c r="O958" s="33"/>
      <c r="P958" s="33"/>
      <c r="Q958" s="33"/>
      <c r="R958" s="33"/>
    </row>
    <row r="959" spans="1:18" x14ac:dyDescent="0.3">
      <c r="A959" s="33"/>
      <c r="B959" s="33"/>
      <c r="C959" s="33"/>
      <c r="D959" s="33"/>
      <c r="E959" s="35"/>
      <c r="F959" s="35"/>
      <c r="G959" s="33"/>
      <c r="H959" s="33"/>
      <c r="I959" s="33"/>
      <c r="J959" s="33"/>
      <c r="K959" s="33"/>
      <c r="L959" s="33"/>
      <c r="M959" s="33"/>
      <c r="N959" s="27"/>
      <c r="O959" s="33"/>
      <c r="P959" s="33"/>
      <c r="Q959" s="33"/>
      <c r="R959" s="33"/>
    </row>
    <row r="960" spans="1:18" x14ac:dyDescent="0.3">
      <c r="A960" s="33"/>
      <c r="B960" s="33"/>
      <c r="C960" s="33"/>
      <c r="D960" s="33"/>
      <c r="E960" s="35"/>
      <c r="F960" s="35"/>
      <c r="G960" s="33"/>
      <c r="H960" s="33"/>
      <c r="I960" s="33"/>
      <c r="J960" s="33"/>
      <c r="K960" s="33"/>
      <c r="L960" s="33"/>
      <c r="M960" s="33"/>
      <c r="N960" s="27"/>
      <c r="O960" s="33"/>
      <c r="P960" s="33"/>
      <c r="Q960" s="33"/>
      <c r="R960" s="33"/>
    </row>
    <row r="961" spans="1:18" x14ac:dyDescent="0.3">
      <c r="A961" s="33"/>
      <c r="B961" s="33"/>
      <c r="C961" s="33"/>
      <c r="D961" s="33"/>
      <c r="E961" s="35"/>
      <c r="F961" s="35"/>
      <c r="G961" s="33"/>
      <c r="H961" s="33"/>
      <c r="I961" s="33"/>
      <c r="J961" s="33"/>
      <c r="K961" s="33"/>
      <c r="L961" s="33"/>
      <c r="M961" s="33"/>
      <c r="N961" s="27"/>
      <c r="O961" s="33"/>
      <c r="P961" s="33"/>
      <c r="Q961" s="33"/>
      <c r="R961" s="33"/>
    </row>
    <row r="962" spans="1:18" x14ac:dyDescent="0.3">
      <c r="A962" s="33"/>
      <c r="B962" s="33"/>
      <c r="C962" s="33"/>
      <c r="D962" s="33"/>
      <c r="E962" s="35"/>
      <c r="F962" s="35"/>
      <c r="G962" s="33"/>
      <c r="H962" s="33"/>
      <c r="I962" s="33"/>
      <c r="J962" s="33"/>
      <c r="K962" s="33"/>
      <c r="L962" s="33"/>
      <c r="M962" s="33"/>
      <c r="N962" s="27"/>
      <c r="O962" s="33"/>
      <c r="P962" s="33"/>
      <c r="Q962" s="33"/>
      <c r="R962" s="33"/>
    </row>
    <row r="963" spans="1:18" x14ac:dyDescent="0.3">
      <c r="A963" s="33"/>
      <c r="B963" s="33"/>
      <c r="C963" s="33"/>
      <c r="D963" s="33"/>
      <c r="E963" s="35"/>
      <c r="F963" s="35"/>
      <c r="G963" s="33"/>
      <c r="H963" s="33"/>
      <c r="I963" s="33"/>
      <c r="J963" s="33"/>
      <c r="K963" s="33"/>
      <c r="L963" s="33"/>
      <c r="M963" s="33"/>
      <c r="N963" s="27"/>
      <c r="O963" s="33"/>
      <c r="P963" s="33"/>
      <c r="Q963" s="33"/>
      <c r="R963" s="33"/>
    </row>
    <row r="964" spans="1:18" x14ac:dyDescent="0.3">
      <c r="A964" s="33"/>
      <c r="B964" s="33"/>
      <c r="C964" s="33"/>
      <c r="D964" s="33"/>
      <c r="E964" s="35"/>
      <c r="F964" s="35"/>
      <c r="G964" s="33"/>
      <c r="H964" s="33"/>
      <c r="I964" s="33"/>
      <c r="J964" s="33"/>
      <c r="K964" s="33"/>
      <c r="L964" s="33"/>
      <c r="M964" s="33"/>
      <c r="N964" s="27"/>
      <c r="O964" s="33"/>
      <c r="P964" s="33"/>
      <c r="Q964" s="33"/>
      <c r="R964" s="33"/>
    </row>
    <row r="965" spans="1:18" x14ac:dyDescent="0.3">
      <c r="A965" s="33"/>
      <c r="B965" s="33"/>
      <c r="C965" s="33"/>
      <c r="D965" s="33"/>
      <c r="E965" s="35"/>
      <c r="F965" s="35"/>
      <c r="G965" s="33"/>
      <c r="H965" s="33"/>
      <c r="I965" s="33"/>
      <c r="J965" s="33"/>
      <c r="K965" s="33"/>
      <c r="L965" s="33"/>
      <c r="M965" s="33"/>
      <c r="N965" s="27"/>
      <c r="O965" s="33"/>
      <c r="P965" s="33"/>
      <c r="Q965" s="33"/>
      <c r="R965" s="33"/>
    </row>
    <row r="966" spans="1:18" x14ac:dyDescent="0.3">
      <c r="A966" s="33"/>
      <c r="B966" s="33"/>
      <c r="C966" s="33"/>
      <c r="D966" s="33"/>
      <c r="E966" s="35"/>
      <c r="F966" s="35"/>
      <c r="G966" s="33"/>
      <c r="H966" s="33"/>
      <c r="I966" s="33"/>
      <c r="J966" s="33"/>
      <c r="K966" s="33"/>
      <c r="L966" s="33"/>
      <c r="M966" s="33"/>
      <c r="N966" s="27"/>
      <c r="O966" s="33"/>
      <c r="P966" s="33"/>
      <c r="Q966" s="33"/>
      <c r="R966" s="33"/>
    </row>
    <row r="967" spans="1:18" x14ac:dyDescent="0.3">
      <c r="A967" s="33"/>
      <c r="B967" s="33"/>
      <c r="C967" s="33"/>
      <c r="D967" s="33"/>
      <c r="E967" s="35"/>
      <c r="F967" s="35"/>
      <c r="G967" s="33"/>
      <c r="H967" s="33"/>
      <c r="I967" s="33"/>
      <c r="J967" s="33"/>
      <c r="K967" s="33"/>
      <c r="L967" s="33"/>
      <c r="M967" s="33"/>
      <c r="N967" s="27"/>
      <c r="O967" s="33"/>
      <c r="P967" s="33"/>
      <c r="Q967" s="33"/>
      <c r="R967" s="33"/>
    </row>
    <row r="968" spans="1:18" x14ac:dyDescent="0.3">
      <c r="A968" s="33"/>
      <c r="B968" s="33"/>
      <c r="C968" s="33"/>
      <c r="D968" s="33"/>
      <c r="E968" s="35"/>
      <c r="F968" s="35"/>
      <c r="G968" s="33"/>
      <c r="H968" s="33"/>
      <c r="I968" s="33"/>
      <c r="J968" s="33"/>
      <c r="K968" s="33"/>
      <c r="L968" s="33"/>
      <c r="M968" s="33"/>
      <c r="N968" s="27"/>
      <c r="O968" s="33"/>
      <c r="P968" s="33"/>
      <c r="Q968" s="33"/>
      <c r="R968" s="33"/>
    </row>
    <row r="969" spans="1:18" x14ac:dyDescent="0.3">
      <c r="A969" s="33"/>
      <c r="B969" s="33"/>
      <c r="C969" s="33"/>
      <c r="D969" s="33"/>
      <c r="E969" s="35"/>
      <c r="F969" s="35"/>
      <c r="G969" s="33"/>
      <c r="H969" s="33"/>
      <c r="I969" s="33"/>
      <c r="J969" s="33"/>
      <c r="K969" s="33"/>
      <c r="L969" s="33"/>
      <c r="M969" s="33"/>
      <c r="N969" s="27"/>
      <c r="O969" s="33"/>
      <c r="P969" s="33"/>
      <c r="Q969" s="33"/>
      <c r="R969" s="33"/>
    </row>
    <row r="970" spans="1:18" x14ac:dyDescent="0.3">
      <c r="A970" s="33"/>
      <c r="B970" s="33"/>
      <c r="C970" s="33"/>
      <c r="D970" s="33"/>
      <c r="E970" s="35"/>
      <c r="F970" s="35"/>
      <c r="G970" s="33"/>
      <c r="H970" s="33"/>
      <c r="I970" s="33"/>
      <c r="J970" s="33"/>
      <c r="K970" s="33"/>
      <c r="L970" s="33"/>
      <c r="M970" s="33"/>
      <c r="N970" s="27"/>
      <c r="O970" s="33"/>
      <c r="P970" s="33"/>
      <c r="Q970" s="33"/>
      <c r="R970" s="33"/>
    </row>
    <row r="971" spans="1:18" x14ac:dyDescent="0.3">
      <c r="A971" s="33"/>
      <c r="B971" s="33"/>
      <c r="C971" s="33"/>
      <c r="D971" s="33"/>
      <c r="E971" s="33"/>
      <c r="F971" s="33"/>
      <c r="G971" s="33"/>
      <c r="H971" s="33"/>
      <c r="I971" s="33"/>
      <c r="J971" s="33"/>
      <c r="K971" s="33"/>
      <c r="L971" s="33"/>
      <c r="M971" s="33"/>
      <c r="N971" s="27"/>
      <c r="O971" s="33"/>
      <c r="P971" s="33"/>
      <c r="Q971" s="33"/>
      <c r="R971" s="33"/>
    </row>
    <row r="972" spans="1:18" x14ac:dyDescent="0.3">
      <c r="A972" s="33"/>
      <c r="B972" s="33"/>
      <c r="C972" s="33"/>
      <c r="D972" s="33"/>
      <c r="E972" s="33"/>
      <c r="F972" s="33"/>
      <c r="G972" s="33"/>
      <c r="H972" s="33"/>
      <c r="I972" s="33"/>
      <c r="J972" s="33"/>
      <c r="K972" s="33"/>
      <c r="L972" s="33"/>
      <c r="M972" s="33"/>
      <c r="N972" s="27"/>
      <c r="O972" s="33"/>
      <c r="P972" s="33"/>
      <c r="Q972" s="33"/>
      <c r="R972" s="33"/>
    </row>
    <row r="973" spans="1:18" x14ac:dyDescent="0.3">
      <c r="A973" s="33"/>
      <c r="B973" s="33"/>
      <c r="C973" s="33"/>
      <c r="D973" s="33"/>
      <c r="E973" s="33"/>
      <c r="F973" s="33"/>
      <c r="G973" s="33"/>
      <c r="H973" s="33"/>
      <c r="I973" s="33"/>
      <c r="J973" s="33"/>
      <c r="K973" s="33"/>
      <c r="L973" s="33"/>
      <c r="M973" s="33"/>
      <c r="N973" s="27"/>
      <c r="O973" s="33"/>
      <c r="P973" s="33"/>
      <c r="Q973" s="33"/>
      <c r="R973" s="33"/>
    </row>
    <row r="974" spans="1:18" x14ac:dyDescent="0.3">
      <c r="A974" s="33"/>
      <c r="B974" s="33"/>
      <c r="C974" s="33"/>
      <c r="D974" s="33"/>
      <c r="E974" s="33"/>
      <c r="F974" s="33"/>
      <c r="G974" s="33"/>
      <c r="H974" s="33"/>
      <c r="I974" s="33"/>
      <c r="J974" s="33"/>
      <c r="K974" s="33"/>
      <c r="L974" s="33"/>
      <c r="M974" s="33"/>
      <c r="N974" s="27"/>
      <c r="O974" s="33"/>
      <c r="P974" s="33"/>
      <c r="Q974" s="33"/>
      <c r="R974" s="33"/>
    </row>
    <row r="975" spans="1:18" x14ac:dyDescent="0.3">
      <c r="A975" s="33"/>
      <c r="B975" s="33"/>
      <c r="C975" s="33"/>
      <c r="D975" s="33"/>
      <c r="E975" s="33"/>
      <c r="F975" s="33"/>
      <c r="G975" s="33"/>
      <c r="H975" s="33"/>
      <c r="I975" s="33"/>
      <c r="J975" s="33"/>
      <c r="K975" s="33"/>
      <c r="L975" s="33"/>
      <c r="M975" s="33"/>
      <c r="N975" s="27"/>
      <c r="O975" s="33"/>
      <c r="P975" s="33"/>
      <c r="Q975" s="33"/>
      <c r="R975" s="33"/>
    </row>
    <row r="976" spans="1:18" x14ac:dyDescent="0.3">
      <c r="A976" s="33"/>
      <c r="B976" s="33"/>
      <c r="C976" s="33"/>
      <c r="D976" s="33"/>
      <c r="E976" s="33"/>
      <c r="F976" s="33"/>
      <c r="G976" s="33"/>
      <c r="H976" s="33"/>
      <c r="I976" s="33"/>
      <c r="J976" s="33"/>
      <c r="K976" s="33"/>
      <c r="L976" s="33"/>
      <c r="M976" s="33"/>
      <c r="N976" s="27"/>
      <c r="O976" s="33"/>
      <c r="P976" s="33"/>
      <c r="Q976" s="33"/>
      <c r="R976" s="33"/>
    </row>
    <row r="977" spans="1:18" x14ac:dyDescent="0.3">
      <c r="A977" s="33"/>
      <c r="B977" s="33"/>
      <c r="C977" s="33"/>
      <c r="D977" s="33"/>
      <c r="E977" s="33"/>
      <c r="F977" s="33"/>
      <c r="G977" s="33"/>
      <c r="H977" s="33"/>
      <c r="I977" s="33"/>
      <c r="J977" s="33"/>
      <c r="K977" s="33"/>
      <c r="L977" s="33"/>
      <c r="M977" s="33"/>
      <c r="N977" s="27"/>
      <c r="O977" s="33"/>
      <c r="P977" s="33"/>
      <c r="Q977" s="33"/>
      <c r="R977" s="33"/>
    </row>
    <row r="978" spans="1:18" x14ac:dyDescent="0.3">
      <c r="A978" s="33"/>
      <c r="B978" s="33"/>
      <c r="C978" s="33"/>
      <c r="D978" s="33"/>
      <c r="E978" s="33"/>
      <c r="F978" s="33"/>
      <c r="G978" s="33"/>
      <c r="H978" s="33"/>
      <c r="I978" s="33"/>
      <c r="J978" s="33"/>
      <c r="K978" s="33"/>
      <c r="L978" s="33"/>
      <c r="M978" s="33"/>
      <c r="N978" s="27"/>
      <c r="O978" s="33"/>
      <c r="P978" s="33"/>
      <c r="Q978" s="33"/>
      <c r="R978" s="33"/>
    </row>
    <row r="979" spans="1:18" x14ac:dyDescent="0.3">
      <c r="A979" s="33"/>
      <c r="B979" s="33"/>
      <c r="C979" s="33"/>
      <c r="D979" s="33"/>
      <c r="E979" s="33"/>
      <c r="F979" s="33"/>
      <c r="G979" s="33"/>
      <c r="H979" s="33"/>
      <c r="I979" s="33"/>
      <c r="J979" s="33"/>
      <c r="K979" s="33"/>
      <c r="L979" s="33"/>
      <c r="M979" s="33"/>
      <c r="N979" s="27"/>
      <c r="O979" s="33"/>
      <c r="P979" s="33"/>
      <c r="Q979" s="33"/>
      <c r="R979" s="33"/>
    </row>
    <row r="980" spans="1:18" x14ac:dyDescent="0.3">
      <c r="A980" s="33"/>
      <c r="B980" s="33"/>
      <c r="C980" s="33"/>
      <c r="D980" s="33"/>
      <c r="E980" s="33"/>
      <c r="F980" s="33"/>
      <c r="G980" s="33"/>
      <c r="H980" s="33"/>
      <c r="I980" s="33"/>
      <c r="J980" s="33"/>
      <c r="K980" s="33"/>
      <c r="L980" s="33"/>
      <c r="M980" s="33"/>
      <c r="N980" s="27"/>
      <c r="O980" s="33"/>
      <c r="P980" s="33"/>
      <c r="Q980" s="33"/>
      <c r="R980" s="33"/>
    </row>
    <row r="981" spans="1:18" x14ac:dyDescent="0.3">
      <c r="A981" s="33"/>
      <c r="B981" s="33"/>
      <c r="C981" s="33"/>
      <c r="D981" s="33"/>
      <c r="E981" s="33"/>
      <c r="F981" s="33"/>
      <c r="G981" s="33"/>
      <c r="H981" s="33"/>
      <c r="I981" s="33"/>
      <c r="J981" s="33"/>
      <c r="K981" s="33"/>
      <c r="L981" s="33"/>
      <c r="M981" s="33"/>
      <c r="N981" s="27"/>
      <c r="O981" s="33"/>
      <c r="P981" s="33"/>
      <c r="Q981" s="33"/>
      <c r="R981" s="33"/>
    </row>
    <row r="982" spans="1:18" x14ac:dyDescent="0.3">
      <c r="A982" s="33"/>
      <c r="B982" s="33"/>
      <c r="C982" s="33"/>
      <c r="D982" s="33"/>
      <c r="E982" s="33"/>
      <c r="F982" s="33"/>
      <c r="G982" s="33"/>
      <c r="H982" s="33"/>
      <c r="I982" s="33"/>
      <c r="J982" s="33"/>
      <c r="K982" s="33"/>
      <c r="L982" s="33"/>
      <c r="M982" s="33"/>
      <c r="N982" s="27"/>
      <c r="O982" s="33"/>
      <c r="P982" s="33"/>
      <c r="Q982" s="33"/>
      <c r="R982" s="33"/>
    </row>
    <row r="983" spans="1:18" x14ac:dyDescent="0.3">
      <c r="A983" s="33"/>
      <c r="B983" s="33"/>
      <c r="C983" s="33"/>
      <c r="D983" s="33"/>
      <c r="E983" s="33"/>
      <c r="F983" s="33"/>
      <c r="G983" s="33"/>
      <c r="H983" s="33"/>
      <c r="I983" s="33"/>
      <c r="J983" s="33"/>
      <c r="K983" s="33"/>
      <c r="L983" s="33"/>
      <c r="M983" s="33"/>
      <c r="N983" s="27"/>
      <c r="O983" s="33"/>
      <c r="P983" s="33"/>
      <c r="Q983" s="33"/>
      <c r="R983" s="33"/>
    </row>
    <row r="984" spans="1:18" x14ac:dyDescent="0.3">
      <c r="A984" s="33"/>
      <c r="B984" s="33"/>
      <c r="C984" s="33"/>
      <c r="D984" s="33"/>
      <c r="E984" s="33"/>
      <c r="F984" s="33"/>
      <c r="G984" s="33"/>
      <c r="H984" s="33"/>
      <c r="I984" s="33"/>
      <c r="J984" s="33"/>
      <c r="K984" s="33"/>
      <c r="L984" s="33"/>
      <c r="M984" s="33"/>
      <c r="N984" s="27"/>
      <c r="O984" s="33"/>
      <c r="P984" s="33"/>
      <c r="Q984" s="33"/>
      <c r="R984" s="33"/>
    </row>
    <row r="985" spans="1:18" x14ac:dyDescent="0.3">
      <c r="A985" s="33"/>
      <c r="B985" s="33"/>
      <c r="C985" s="33"/>
      <c r="D985" s="33"/>
      <c r="E985" s="33"/>
      <c r="F985" s="33"/>
      <c r="G985" s="33"/>
      <c r="H985" s="33"/>
      <c r="I985" s="33"/>
      <c r="J985" s="33"/>
      <c r="K985" s="33"/>
      <c r="L985" s="33"/>
      <c r="M985" s="33"/>
      <c r="N985" s="27"/>
      <c r="O985" s="33"/>
      <c r="P985" s="33"/>
      <c r="Q985" s="33"/>
      <c r="R985" s="33"/>
    </row>
    <row r="986" spans="1:18" x14ac:dyDescent="0.3">
      <c r="A986" s="33"/>
      <c r="B986" s="33"/>
      <c r="C986" s="33"/>
      <c r="D986" s="33"/>
      <c r="E986" s="33"/>
      <c r="F986" s="33"/>
      <c r="G986" s="33"/>
      <c r="H986" s="33"/>
      <c r="I986" s="33"/>
      <c r="J986" s="33"/>
      <c r="K986" s="33"/>
      <c r="L986" s="33"/>
      <c r="M986" s="33"/>
      <c r="N986" s="27"/>
      <c r="O986" s="33"/>
      <c r="P986" s="33"/>
      <c r="Q986" s="33"/>
      <c r="R986" s="33"/>
    </row>
    <row r="987" spans="1:18" x14ac:dyDescent="0.3">
      <c r="A987" s="33"/>
      <c r="B987" s="33"/>
      <c r="C987" s="33"/>
      <c r="D987" s="33"/>
      <c r="E987" s="33"/>
      <c r="F987" s="33"/>
      <c r="G987" s="33"/>
      <c r="H987" s="33"/>
      <c r="I987" s="33"/>
      <c r="J987" s="33"/>
      <c r="K987" s="33"/>
      <c r="L987" s="33"/>
      <c r="M987" s="33"/>
      <c r="N987" s="27"/>
      <c r="O987" s="33"/>
      <c r="P987" s="33"/>
      <c r="Q987" s="33"/>
      <c r="R987" s="33"/>
    </row>
    <row r="988" spans="1:18" x14ac:dyDescent="0.3">
      <c r="A988" s="33"/>
      <c r="B988" s="33"/>
      <c r="C988" s="33"/>
      <c r="D988" s="33"/>
      <c r="E988" s="33"/>
      <c r="F988" s="33"/>
      <c r="G988" s="33"/>
      <c r="H988" s="33"/>
      <c r="I988" s="33"/>
      <c r="J988" s="33"/>
      <c r="K988" s="33"/>
      <c r="L988" s="33"/>
      <c r="M988" s="33"/>
      <c r="N988" s="27"/>
      <c r="O988" s="33"/>
      <c r="P988" s="33"/>
      <c r="Q988" s="33"/>
      <c r="R988" s="33"/>
    </row>
    <row r="989" spans="1:18" x14ac:dyDescent="0.3">
      <c r="A989" s="33"/>
      <c r="B989" s="33"/>
      <c r="C989" s="33"/>
      <c r="D989" s="33"/>
      <c r="E989" s="33"/>
      <c r="F989" s="33"/>
      <c r="G989" s="33"/>
      <c r="H989" s="33"/>
      <c r="I989" s="33"/>
      <c r="J989" s="33"/>
      <c r="K989" s="33"/>
      <c r="L989" s="33"/>
      <c r="M989" s="33"/>
      <c r="N989" s="27"/>
      <c r="O989" s="33"/>
      <c r="P989" s="33"/>
      <c r="Q989" s="33"/>
      <c r="R989" s="33"/>
    </row>
    <row r="990" spans="1:18" x14ac:dyDescent="0.3">
      <c r="A990" s="33"/>
      <c r="B990" s="33"/>
      <c r="C990" s="33"/>
      <c r="D990" s="33"/>
      <c r="E990" s="33"/>
      <c r="F990" s="33"/>
      <c r="G990" s="33"/>
      <c r="H990" s="33"/>
      <c r="I990" s="33"/>
      <c r="J990" s="33"/>
      <c r="K990" s="33"/>
      <c r="L990" s="33"/>
      <c r="M990" s="33"/>
      <c r="N990" s="27"/>
      <c r="O990" s="33"/>
      <c r="P990" s="33"/>
      <c r="Q990" s="33"/>
      <c r="R990" s="33"/>
    </row>
    <row r="991" spans="1:18" x14ac:dyDescent="0.3">
      <c r="A991" s="33"/>
      <c r="B991" s="33"/>
      <c r="C991" s="33"/>
      <c r="D991" s="33"/>
      <c r="E991" s="33"/>
      <c r="F991" s="33"/>
      <c r="G991" s="33"/>
      <c r="H991" s="33"/>
      <c r="I991" s="33"/>
      <c r="J991" s="33"/>
      <c r="K991" s="33"/>
      <c r="L991" s="33"/>
      <c r="M991" s="33"/>
      <c r="N991" s="27"/>
      <c r="O991" s="33"/>
      <c r="P991" s="33"/>
      <c r="Q991" s="33"/>
      <c r="R991" s="33"/>
    </row>
    <row r="992" spans="1:18" x14ac:dyDescent="0.3">
      <c r="A992" s="33"/>
      <c r="B992" s="33"/>
      <c r="C992" s="33"/>
      <c r="D992" s="33"/>
      <c r="E992" s="33"/>
      <c r="F992" s="33"/>
      <c r="G992" s="33"/>
      <c r="H992" s="33"/>
      <c r="I992" s="33"/>
      <c r="J992" s="33"/>
      <c r="K992" s="33"/>
      <c r="L992" s="33"/>
      <c r="M992" s="33"/>
      <c r="N992" s="27"/>
      <c r="O992" s="33"/>
      <c r="P992" s="33"/>
      <c r="Q992" s="33"/>
      <c r="R992" s="33"/>
    </row>
    <row r="993" spans="1:18" x14ac:dyDescent="0.3">
      <c r="A993" s="33"/>
      <c r="B993" s="33"/>
      <c r="C993" s="33"/>
      <c r="D993" s="33"/>
      <c r="E993" s="33"/>
      <c r="F993" s="33"/>
      <c r="G993" s="33"/>
      <c r="H993" s="33"/>
      <c r="I993" s="33"/>
      <c r="J993" s="33"/>
      <c r="K993" s="33"/>
      <c r="L993" s="33"/>
      <c r="M993" s="33"/>
      <c r="N993" s="27"/>
      <c r="O993" s="33"/>
      <c r="P993" s="33"/>
      <c r="Q993" s="33"/>
      <c r="R993" s="33"/>
    </row>
    <row r="994" spans="1:18" x14ac:dyDescent="0.3">
      <c r="A994" s="33"/>
      <c r="B994" s="33"/>
      <c r="C994" s="33"/>
      <c r="D994" s="33"/>
      <c r="E994" s="33"/>
      <c r="F994" s="33"/>
      <c r="G994" s="33"/>
      <c r="H994" s="33"/>
      <c r="I994" s="33"/>
      <c r="J994" s="33"/>
      <c r="K994" s="33"/>
      <c r="L994" s="33"/>
      <c r="M994" s="33"/>
      <c r="N994" s="27"/>
      <c r="O994" s="33"/>
      <c r="P994" s="33"/>
      <c r="Q994" s="33"/>
      <c r="R994" s="33"/>
    </row>
    <row r="995" spans="1:18" x14ac:dyDescent="0.3">
      <c r="A995" s="33"/>
      <c r="B995" s="33"/>
      <c r="C995" s="33"/>
      <c r="D995" s="33"/>
      <c r="E995" s="33"/>
      <c r="F995" s="33"/>
      <c r="G995" s="33"/>
      <c r="H995" s="33"/>
      <c r="I995" s="33"/>
      <c r="J995" s="33"/>
      <c r="K995" s="33"/>
      <c r="L995" s="33"/>
      <c r="M995" s="33"/>
      <c r="N995" s="27"/>
      <c r="O995" s="33"/>
      <c r="P995" s="33"/>
      <c r="Q995" s="33"/>
      <c r="R995" s="33"/>
    </row>
    <row r="996" spans="1:18" x14ac:dyDescent="0.3">
      <c r="A996" s="33"/>
      <c r="B996" s="33"/>
      <c r="C996" s="33"/>
      <c r="D996" s="33"/>
      <c r="E996" s="33"/>
      <c r="F996" s="33"/>
      <c r="G996" s="33"/>
      <c r="H996" s="33"/>
      <c r="I996" s="33"/>
      <c r="J996" s="33"/>
      <c r="K996" s="33"/>
      <c r="L996" s="33"/>
      <c r="M996" s="33"/>
      <c r="N996" s="27"/>
      <c r="O996" s="33"/>
      <c r="P996" s="33"/>
      <c r="Q996" s="33"/>
      <c r="R996" s="33"/>
    </row>
    <row r="997" spans="1:18" x14ac:dyDescent="0.3">
      <c r="A997" s="33"/>
      <c r="B997" s="33"/>
      <c r="C997" s="33"/>
      <c r="D997" s="33"/>
      <c r="E997" s="33"/>
      <c r="F997" s="33"/>
      <c r="G997" s="33"/>
      <c r="H997" s="33"/>
      <c r="I997" s="33"/>
      <c r="J997" s="33"/>
      <c r="K997" s="33"/>
      <c r="L997" s="33"/>
      <c r="M997" s="33"/>
      <c r="N997" s="27"/>
      <c r="O997" s="33"/>
      <c r="P997" s="33"/>
      <c r="Q997" s="33"/>
      <c r="R997" s="33"/>
    </row>
    <row r="998" spans="1:18" x14ac:dyDescent="0.3">
      <c r="A998" s="33"/>
      <c r="B998" s="33"/>
      <c r="C998" s="33"/>
      <c r="D998" s="33"/>
      <c r="E998" s="33"/>
      <c r="F998" s="33"/>
      <c r="G998" s="33"/>
      <c r="H998" s="33"/>
      <c r="I998" s="33"/>
      <c r="J998" s="33"/>
      <c r="K998" s="33"/>
      <c r="L998" s="33"/>
      <c r="M998" s="33"/>
      <c r="N998" s="27"/>
      <c r="O998" s="33"/>
      <c r="P998" s="33"/>
      <c r="Q998" s="33"/>
      <c r="R998" s="33"/>
    </row>
    <row r="999" spans="1:18" x14ac:dyDescent="0.3">
      <c r="A999" s="33"/>
      <c r="B999" s="33"/>
      <c r="C999" s="33"/>
      <c r="D999" s="33"/>
      <c r="E999" s="33"/>
      <c r="F999" s="33"/>
      <c r="G999" s="33"/>
      <c r="H999" s="33"/>
      <c r="I999" s="33"/>
      <c r="J999" s="33"/>
      <c r="K999" s="33"/>
      <c r="L999" s="33"/>
      <c r="M999" s="33"/>
      <c r="N999" s="27"/>
      <c r="O999" s="33"/>
      <c r="P999" s="33"/>
      <c r="Q999" s="33"/>
      <c r="R999" s="33"/>
    </row>
    <row r="1000" spans="1:18" x14ac:dyDescent="0.3">
      <c r="A1000" s="33"/>
      <c r="B1000" s="33"/>
      <c r="C1000" s="33"/>
      <c r="D1000" s="33"/>
      <c r="E1000" s="33"/>
      <c r="F1000" s="33"/>
      <c r="G1000" s="33"/>
      <c r="H1000" s="33"/>
      <c r="I1000" s="33"/>
      <c r="J1000" s="33"/>
      <c r="K1000" s="33"/>
      <c r="L1000" s="33"/>
      <c r="M1000" s="33"/>
      <c r="N1000" s="27"/>
      <c r="O1000" s="33"/>
      <c r="P1000" s="33"/>
      <c r="Q1000" s="33"/>
      <c r="R1000" s="33"/>
    </row>
    <row r="1001" spans="1:18" x14ac:dyDescent="0.3">
      <c r="A1001" s="33"/>
      <c r="B1001" s="33"/>
      <c r="C1001" s="33"/>
      <c r="D1001" s="33"/>
      <c r="E1001" s="33"/>
      <c r="F1001" s="33"/>
      <c r="G1001" s="33"/>
      <c r="H1001" s="33"/>
      <c r="I1001" s="33"/>
      <c r="J1001" s="33"/>
      <c r="K1001" s="33"/>
      <c r="L1001" s="33"/>
      <c r="M1001" s="33"/>
      <c r="N1001" s="27"/>
      <c r="O1001" s="33"/>
      <c r="P1001" s="33"/>
      <c r="Q1001" s="33"/>
      <c r="R1001" s="33"/>
    </row>
    <row r="1002" spans="1:18" x14ac:dyDescent="0.3">
      <c r="A1002" s="33"/>
      <c r="B1002" s="33"/>
      <c r="C1002" s="33"/>
      <c r="D1002" s="33"/>
      <c r="E1002" s="33"/>
      <c r="F1002" s="33"/>
      <c r="G1002" s="33"/>
      <c r="H1002" s="33"/>
      <c r="I1002" s="33"/>
      <c r="J1002" s="33"/>
      <c r="K1002" s="33"/>
      <c r="L1002" s="33"/>
      <c r="M1002" s="33"/>
      <c r="N1002" s="27"/>
      <c r="O1002" s="33"/>
      <c r="P1002" s="33"/>
      <c r="Q1002" s="33"/>
      <c r="R1002" s="33"/>
    </row>
    <row r="1003" spans="1:18" x14ac:dyDescent="0.3">
      <c r="A1003" s="33"/>
      <c r="B1003" s="33"/>
      <c r="C1003" s="33"/>
      <c r="D1003" s="33"/>
      <c r="E1003" s="33"/>
      <c r="F1003" s="33"/>
      <c r="G1003" s="33"/>
      <c r="H1003" s="33"/>
      <c r="I1003" s="33"/>
      <c r="J1003" s="33"/>
      <c r="K1003" s="33"/>
      <c r="L1003" s="33"/>
      <c r="M1003" s="33"/>
      <c r="N1003" s="27"/>
      <c r="O1003" s="33"/>
      <c r="P1003" s="33"/>
      <c r="Q1003" s="33"/>
      <c r="R1003" s="33"/>
    </row>
    <row r="1004" spans="1:18" x14ac:dyDescent="0.3">
      <c r="A1004" s="33"/>
      <c r="B1004" s="33"/>
      <c r="C1004" s="33"/>
      <c r="D1004" s="33"/>
      <c r="E1004" s="33"/>
      <c r="F1004" s="33"/>
      <c r="G1004" s="33"/>
      <c r="H1004" s="33"/>
      <c r="I1004" s="33"/>
      <c r="J1004" s="33"/>
      <c r="K1004" s="33"/>
      <c r="L1004" s="33"/>
      <c r="M1004" s="33"/>
      <c r="N1004" s="27"/>
      <c r="O1004" s="33"/>
      <c r="P1004" s="33"/>
      <c r="Q1004" s="33"/>
      <c r="R1004" s="33"/>
    </row>
    <row r="1005" spans="1:18" x14ac:dyDescent="0.3">
      <c r="A1005" s="33"/>
      <c r="B1005" s="33"/>
      <c r="C1005" s="33"/>
      <c r="D1005" s="33"/>
      <c r="E1005" s="33"/>
      <c r="F1005" s="33"/>
      <c r="G1005" s="33"/>
      <c r="H1005" s="33"/>
      <c r="I1005" s="33"/>
      <c r="J1005" s="33"/>
      <c r="K1005" s="33"/>
      <c r="L1005" s="33"/>
      <c r="M1005" s="33"/>
      <c r="N1005" s="27"/>
      <c r="O1005" s="33"/>
      <c r="P1005" s="33"/>
      <c r="Q1005" s="33"/>
      <c r="R1005" s="33"/>
    </row>
    <row r="1006" spans="1:18" x14ac:dyDescent="0.3">
      <c r="A1006" s="33"/>
      <c r="B1006" s="33"/>
      <c r="C1006" s="33"/>
      <c r="D1006" s="33"/>
      <c r="E1006" s="33"/>
      <c r="F1006" s="33"/>
      <c r="G1006" s="33"/>
      <c r="H1006" s="33"/>
      <c r="I1006" s="33"/>
      <c r="J1006" s="33"/>
      <c r="K1006" s="33"/>
      <c r="L1006" s="33"/>
      <c r="M1006" s="33"/>
      <c r="N1006" s="27"/>
      <c r="O1006" s="33"/>
      <c r="P1006" s="33"/>
      <c r="Q1006" s="33"/>
      <c r="R1006" s="33"/>
    </row>
    <row r="1007" spans="1:18" x14ac:dyDescent="0.3">
      <c r="N1007" s="26"/>
    </row>
    <row r="1008" spans="1:18" x14ac:dyDescent="0.3">
      <c r="N1008" s="26"/>
    </row>
    <row r="1009" spans="14:14" x14ac:dyDescent="0.3">
      <c r="N1009" s="26"/>
    </row>
    <row r="1010" spans="14:14" x14ac:dyDescent="0.3">
      <c r="N1010" s="26"/>
    </row>
    <row r="1011" spans="14:14" x14ac:dyDescent="0.3">
      <c r="N1011" s="26"/>
    </row>
    <row r="1012" spans="14:14" x14ac:dyDescent="0.3">
      <c r="N1012" s="26"/>
    </row>
    <row r="1013" spans="14:14" x14ac:dyDescent="0.3">
      <c r="N1013" s="26"/>
    </row>
    <row r="1014" spans="14:14" x14ac:dyDescent="0.3">
      <c r="N1014" s="26"/>
    </row>
    <row r="1015" spans="14:14" x14ac:dyDescent="0.3">
      <c r="N1015" s="26"/>
    </row>
    <row r="1016" spans="14:14" x14ac:dyDescent="0.3">
      <c r="N1016" s="26"/>
    </row>
    <row r="1017" spans="14:14" x14ac:dyDescent="0.3">
      <c r="N1017" s="26"/>
    </row>
    <row r="1018" spans="14:14" x14ac:dyDescent="0.3">
      <c r="N1018" s="26"/>
    </row>
    <row r="1019" spans="14:14" x14ac:dyDescent="0.3">
      <c r="N1019" s="26"/>
    </row>
    <row r="1020" spans="14:14" x14ac:dyDescent="0.3">
      <c r="N1020" s="26"/>
    </row>
    <row r="1021" spans="14:14" x14ac:dyDescent="0.3">
      <c r="N1021" s="26"/>
    </row>
    <row r="1022" spans="14:14" x14ac:dyDescent="0.3">
      <c r="N1022" s="26"/>
    </row>
    <row r="1023" spans="14:14" x14ac:dyDescent="0.3">
      <c r="N1023" s="26"/>
    </row>
    <row r="1024" spans="14:14" x14ac:dyDescent="0.3">
      <c r="N1024" s="26"/>
    </row>
    <row r="1025" spans="14:14" x14ac:dyDescent="0.3">
      <c r="N1025" s="26"/>
    </row>
    <row r="1026" spans="14:14" x14ac:dyDescent="0.3">
      <c r="N1026" s="26"/>
    </row>
    <row r="1027" spans="14:14" x14ac:dyDescent="0.3">
      <c r="N1027" s="26"/>
    </row>
    <row r="1028" spans="14:14" x14ac:dyDescent="0.3">
      <c r="N1028" s="26"/>
    </row>
    <row r="1029" spans="14:14" x14ac:dyDescent="0.3">
      <c r="N1029" s="26"/>
    </row>
    <row r="1030" spans="14:14" x14ac:dyDescent="0.3">
      <c r="N1030" s="26"/>
    </row>
    <row r="1031" spans="14:14" x14ac:dyDescent="0.3">
      <c r="N1031" s="26"/>
    </row>
    <row r="1032" spans="14:14" x14ac:dyDescent="0.3">
      <c r="N1032" s="26"/>
    </row>
    <row r="1033" spans="14:14" x14ac:dyDescent="0.3">
      <c r="N1033" s="26"/>
    </row>
    <row r="1034" spans="14:14" x14ac:dyDescent="0.3">
      <c r="N1034" s="26"/>
    </row>
    <row r="1035" spans="14:14" x14ac:dyDescent="0.3">
      <c r="N1035" s="26"/>
    </row>
    <row r="1036" spans="14:14" x14ac:dyDescent="0.3">
      <c r="N1036" s="26"/>
    </row>
    <row r="1037" spans="14:14" x14ac:dyDescent="0.3">
      <c r="N1037" s="26"/>
    </row>
    <row r="1038" spans="14:14" x14ac:dyDescent="0.3">
      <c r="N1038" s="26"/>
    </row>
    <row r="1039" spans="14:14" x14ac:dyDescent="0.3">
      <c r="N1039" s="26"/>
    </row>
    <row r="1040" spans="14:14" x14ac:dyDescent="0.3">
      <c r="N1040" s="26"/>
    </row>
    <row r="1041" spans="14:14" x14ac:dyDescent="0.3">
      <c r="N1041" s="26"/>
    </row>
    <row r="1042" spans="14:14" x14ac:dyDescent="0.3">
      <c r="N1042" s="26"/>
    </row>
    <row r="1043" spans="14:14" x14ac:dyDescent="0.3">
      <c r="N1043" s="26"/>
    </row>
    <row r="1044" spans="14:14" x14ac:dyDescent="0.3">
      <c r="N1044" s="26"/>
    </row>
    <row r="1045" spans="14:14" x14ac:dyDescent="0.3">
      <c r="N1045" s="26"/>
    </row>
    <row r="1046" spans="14:14" x14ac:dyDescent="0.3">
      <c r="N1046" s="26"/>
    </row>
    <row r="1047" spans="14:14" x14ac:dyDescent="0.3">
      <c r="N1047" s="26"/>
    </row>
    <row r="1048" spans="14:14" x14ac:dyDescent="0.3">
      <c r="N1048" s="26"/>
    </row>
    <row r="1049" spans="14:14" x14ac:dyDescent="0.3">
      <c r="N1049" s="26"/>
    </row>
    <row r="1050" spans="14:14" x14ac:dyDescent="0.3">
      <c r="N1050" s="26"/>
    </row>
    <row r="1051" spans="14:14" x14ac:dyDescent="0.3">
      <c r="N1051" s="26"/>
    </row>
    <row r="1052" spans="14:14" x14ac:dyDescent="0.3">
      <c r="N1052" s="26"/>
    </row>
    <row r="1053" spans="14:14" x14ac:dyDescent="0.3">
      <c r="N1053" s="26"/>
    </row>
    <row r="1054" spans="14:14" x14ac:dyDescent="0.3">
      <c r="N1054" s="26"/>
    </row>
    <row r="1055" spans="14:14" x14ac:dyDescent="0.3">
      <c r="N1055" s="26"/>
    </row>
    <row r="1056" spans="14:14" x14ac:dyDescent="0.3">
      <c r="N1056" s="26"/>
    </row>
    <row r="1057" spans="14:14" x14ac:dyDescent="0.3">
      <c r="N1057" s="26"/>
    </row>
    <row r="1058" spans="14:14" x14ac:dyDescent="0.3">
      <c r="N1058" s="26"/>
    </row>
    <row r="1059" spans="14:14" x14ac:dyDescent="0.3">
      <c r="N1059" s="26"/>
    </row>
    <row r="1060" spans="14:14" x14ac:dyDescent="0.3">
      <c r="N1060" s="26"/>
    </row>
    <row r="1061" spans="14:14" x14ac:dyDescent="0.3">
      <c r="N1061" s="26"/>
    </row>
    <row r="1062" spans="14:14" x14ac:dyDescent="0.3">
      <c r="N1062" s="26"/>
    </row>
    <row r="1063" spans="14:14" x14ac:dyDescent="0.3">
      <c r="N1063" s="26"/>
    </row>
    <row r="1064" spans="14:14" x14ac:dyDescent="0.3">
      <c r="N1064" s="26"/>
    </row>
    <row r="1065" spans="14:14" x14ac:dyDescent="0.3">
      <c r="N1065" s="26"/>
    </row>
    <row r="1066" spans="14:14" x14ac:dyDescent="0.3">
      <c r="N1066" s="26"/>
    </row>
    <row r="1067" spans="14:14" x14ac:dyDescent="0.3">
      <c r="N1067" s="26"/>
    </row>
    <row r="1068" spans="14:14" x14ac:dyDescent="0.3">
      <c r="N1068" s="26"/>
    </row>
    <row r="1069" spans="14:14" x14ac:dyDescent="0.3">
      <c r="N1069" s="26"/>
    </row>
    <row r="1070" spans="14:14" x14ac:dyDescent="0.3">
      <c r="N1070" s="26"/>
    </row>
    <row r="1071" spans="14:14" x14ac:dyDescent="0.3">
      <c r="N1071" s="26"/>
    </row>
    <row r="1072" spans="14:14" x14ac:dyDescent="0.3">
      <c r="N1072" s="26"/>
    </row>
    <row r="1073" spans="14:14" x14ac:dyDescent="0.3">
      <c r="N1073" s="26"/>
    </row>
    <row r="1074" spans="14:14" x14ac:dyDescent="0.3">
      <c r="N1074" s="26"/>
    </row>
    <row r="1075" spans="14:14" x14ac:dyDescent="0.3">
      <c r="N1075" s="26"/>
    </row>
    <row r="1076" spans="14:14" x14ac:dyDescent="0.3">
      <c r="N1076" s="26"/>
    </row>
    <row r="1077" spans="14:14" x14ac:dyDescent="0.3">
      <c r="N1077" s="26"/>
    </row>
    <row r="1078" spans="14:14" x14ac:dyDescent="0.3">
      <c r="N1078" s="26"/>
    </row>
    <row r="1079" spans="14:14" x14ac:dyDescent="0.3">
      <c r="N1079" s="26"/>
    </row>
    <row r="1080" spans="14:14" x14ac:dyDescent="0.3">
      <c r="N1080" s="26"/>
    </row>
    <row r="1081" spans="14:14" x14ac:dyDescent="0.3">
      <c r="N1081" s="26"/>
    </row>
    <row r="1082" spans="14:14" x14ac:dyDescent="0.3">
      <c r="N1082" s="26"/>
    </row>
    <row r="1083" spans="14:14" x14ac:dyDescent="0.3">
      <c r="N1083" s="26"/>
    </row>
    <row r="1084" spans="14:14" x14ac:dyDescent="0.3">
      <c r="N1084" s="26"/>
    </row>
    <row r="1085" spans="14:14" x14ac:dyDescent="0.3">
      <c r="N1085" s="26"/>
    </row>
    <row r="1086" spans="14:14" x14ac:dyDescent="0.3">
      <c r="N1086" s="26"/>
    </row>
    <row r="1087" spans="14:14" x14ac:dyDescent="0.3">
      <c r="N1087" s="26"/>
    </row>
    <row r="1088" spans="14:14" x14ac:dyDescent="0.3">
      <c r="N1088" s="26"/>
    </row>
    <row r="1089" spans="14:14" x14ac:dyDescent="0.3">
      <c r="N1089" s="26"/>
    </row>
    <row r="1090" spans="14:14" x14ac:dyDescent="0.3">
      <c r="N1090" s="26"/>
    </row>
    <row r="1091" spans="14:14" x14ac:dyDescent="0.3">
      <c r="N1091" s="26"/>
    </row>
    <row r="1092" spans="14:14" x14ac:dyDescent="0.3">
      <c r="N1092" s="26"/>
    </row>
    <row r="1093" spans="14:14" x14ac:dyDescent="0.3">
      <c r="N1093" s="26"/>
    </row>
    <row r="1094" spans="14:14" x14ac:dyDescent="0.3">
      <c r="N1094" s="26"/>
    </row>
    <row r="1095" spans="14:14" x14ac:dyDescent="0.3">
      <c r="N1095" s="26"/>
    </row>
    <row r="1096" spans="14:14" x14ac:dyDescent="0.3">
      <c r="N1096" s="26"/>
    </row>
    <row r="1097" spans="14:14" x14ac:dyDescent="0.3">
      <c r="N1097" s="26"/>
    </row>
    <row r="1098" spans="14:14" x14ac:dyDescent="0.3">
      <c r="N1098" s="26"/>
    </row>
    <row r="1099" spans="14:14" x14ac:dyDescent="0.3">
      <c r="N1099" s="26"/>
    </row>
    <row r="1100" spans="14:14" x14ac:dyDescent="0.3">
      <c r="N1100" s="26"/>
    </row>
  </sheetData>
  <sheetProtection algorithmName="SHA-512" hashValue="os2+85q1Okbh/NwDBDiqgyXCU9gFKa7awJm/DYeiv+dGZ89ZH0JSvIoZOiNM2+G/9ZAmGUkGz4t6yVp7JDHSYA==" saltValue="vz10mXrPE7R4qQta88xbiQ==" spinCount="100000" sheet="1" objects="1" scenarios="1" selectLockedCells="1" selectUnlockedCells="1"/>
  <autoFilter ref="A1:R915" xr:uid="{BA337CDF-9DBC-491A-859E-AAAB7651357A}">
    <filterColumn colId="0">
      <filters>
        <dateGroupItem year="2020" dateTimeGrouping="year"/>
        <dateGroupItem year="2019" dateTimeGrouping="year"/>
        <dateGroupItem year="2018" dateTimeGrouping="year"/>
        <dateGroupItem year="2017" dateTimeGrouping="year"/>
      </filters>
    </filterColumn>
  </autoFilter>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7D03-2780-4492-AD4C-72649DF547B2}">
  <sheetPr>
    <tabColor rgb="FFFF0000"/>
  </sheetPr>
  <dimension ref="A1:N22"/>
  <sheetViews>
    <sheetView workbookViewId="0">
      <selection sqref="A1:XFD1048576"/>
    </sheetView>
  </sheetViews>
  <sheetFormatPr defaultRowHeight="14.4" x14ac:dyDescent="0.3"/>
  <cols>
    <col min="1" max="1" width="31" customWidth="1"/>
    <col min="2" max="2" width="18" customWidth="1"/>
    <col min="3" max="3" width="11.88671875" customWidth="1"/>
    <col min="4" max="4" width="14.6640625" customWidth="1"/>
    <col min="5" max="5" width="12.6640625" customWidth="1"/>
    <col min="6" max="6" width="12.5546875" customWidth="1"/>
    <col min="7" max="7" width="12.44140625" customWidth="1"/>
    <col min="8" max="8" width="12.5546875" customWidth="1"/>
    <col min="9" max="9" width="12.88671875" customWidth="1"/>
    <col min="10" max="10" width="11.44140625" customWidth="1"/>
    <col min="11" max="11" width="11.6640625" customWidth="1"/>
    <col min="14" max="14" width="10.6640625" bestFit="1" customWidth="1"/>
  </cols>
  <sheetData>
    <row r="1" spans="1:14" ht="28.8" x14ac:dyDescent="0.3">
      <c r="A1" s="43" t="s">
        <v>145</v>
      </c>
      <c r="B1" s="43" t="s">
        <v>3</v>
      </c>
      <c r="C1" s="43" t="s">
        <v>136</v>
      </c>
      <c r="D1" s="43" t="s">
        <v>146</v>
      </c>
      <c r="E1" s="43" t="s">
        <v>147</v>
      </c>
      <c r="F1" s="43" t="s">
        <v>148</v>
      </c>
      <c r="G1" s="43" t="s">
        <v>149</v>
      </c>
      <c r="H1" s="43" t="s">
        <v>150</v>
      </c>
      <c r="I1" s="43" t="s">
        <v>151</v>
      </c>
      <c r="J1" s="43" t="s">
        <v>142</v>
      </c>
      <c r="K1" s="43" t="s">
        <v>143</v>
      </c>
      <c r="L1" s="43"/>
      <c r="N1" s="28">
        <v>44378</v>
      </c>
    </row>
    <row r="2" spans="1:14" x14ac:dyDescent="0.3">
      <c r="A2" s="33" t="s">
        <v>152</v>
      </c>
      <c r="B2" s="32">
        <v>43693</v>
      </c>
      <c r="C2" s="35">
        <v>125.67</v>
      </c>
      <c r="D2" s="35">
        <v>927</v>
      </c>
      <c r="E2" s="35">
        <v>9.8800000000000008</v>
      </c>
      <c r="F2" s="35">
        <v>16</v>
      </c>
      <c r="G2" s="33">
        <v>106.5</v>
      </c>
      <c r="H2" s="35">
        <f>(G2*16)-(D2+C2)</f>
        <v>651.32999999999993</v>
      </c>
      <c r="I2" s="35">
        <f>ROUND(((ROUNDDOWN(($N$1-B2)/30,0))/100)*H2,2)</f>
        <v>143.29</v>
      </c>
      <c r="J2" s="35">
        <f>H2*2</f>
        <v>1302.6599999999999</v>
      </c>
      <c r="K2" s="35">
        <v>417.23</v>
      </c>
    </row>
    <row r="3" spans="1:14" x14ac:dyDescent="0.3">
      <c r="A3" s="33" t="s">
        <v>85</v>
      </c>
      <c r="B3" s="32">
        <v>43651</v>
      </c>
      <c r="C3" s="35">
        <v>25.47</v>
      </c>
      <c r="D3" s="35">
        <v>780</v>
      </c>
      <c r="E3" s="35">
        <v>11.43</v>
      </c>
      <c r="F3" s="35">
        <v>16</v>
      </c>
      <c r="G3" s="33">
        <v>70.5</v>
      </c>
      <c r="H3" s="35">
        <f t="shared" ref="H3:H8" si="0">(G3*16)-(D3+C3)</f>
        <v>322.52999999999997</v>
      </c>
      <c r="I3" s="35">
        <f t="shared" ref="I3:I8" si="1">ROUND(((ROUNDDOWN(($N$1-B3)/30,0))/100)*H3,2)</f>
        <v>77.41</v>
      </c>
      <c r="J3" s="35">
        <f t="shared" ref="J3:J8" si="2">H3*2</f>
        <v>645.05999999999995</v>
      </c>
      <c r="K3" s="35">
        <v>417.23</v>
      </c>
    </row>
    <row r="4" spans="1:14" x14ac:dyDescent="0.3">
      <c r="A4" s="33" t="s">
        <v>101</v>
      </c>
      <c r="B4" s="32">
        <v>43679</v>
      </c>
      <c r="C4" s="35">
        <v>101.54</v>
      </c>
      <c r="D4" s="35">
        <v>646</v>
      </c>
      <c r="E4" s="35">
        <v>6.03</v>
      </c>
      <c r="F4" s="35">
        <v>16</v>
      </c>
      <c r="G4" s="33">
        <v>124</v>
      </c>
      <c r="H4" s="35">
        <f t="shared" si="0"/>
        <v>1236.46</v>
      </c>
      <c r="I4" s="35">
        <f t="shared" si="1"/>
        <v>284.39</v>
      </c>
      <c r="J4" s="35">
        <f t="shared" si="2"/>
        <v>2472.92</v>
      </c>
      <c r="K4" s="35">
        <v>417.23</v>
      </c>
    </row>
    <row r="5" spans="1:14" x14ac:dyDescent="0.3">
      <c r="A5" s="33" t="s">
        <v>101</v>
      </c>
      <c r="B5" s="32">
        <v>43693</v>
      </c>
      <c r="C5" s="35">
        <v>108.19</v>
      </c>
      <c r="D5" s="35">
        <v>918</v>
      </c>
      <c r="E5" s="35">
        <v>8.18</v>
      </c>
      <c r="F5" s="35">
        <v>16</v>
      </c>
      <c r="G5" s="33">
        <v>125.5</v>
      </c>
      <c r="H5" s="35">
        <f t="shared" si="0"/>
        <v>981.81</v>
      </c>
      <c r="I5" s="35">
        <f t="shared" si="1"/>
        <v>216</v>
      </c>
      <c r="J5" s="35">
        <f t="shared" si="2"/>
        <v>1963.62</v>
      </c>
      <c r="K5" s="35"/>
    </row>
    <row r="6" spans="1:14" x14ac:dyDescent="0.3">
      <c r="A6" s="33" t="s">
        <v>94</v>
      </c>
      <c r="B6" s="32">
        <v>43679</v>
      </c>
      <c r="C6" s="35">
        <v>120.69</v>
      </c>
      <c r="D6" s="35">
        <v>1078</v>
      </c>
      <c r="E6" s="35">
        <v>9.75</v>
      </c>
      <c r="F6" s="35">
        <v>16</v>
      </c>
      <c r="G6" s="33">
        <v>123</v>
      </c>
      <c r="H6" s="35">
        <f t="shared" si="0"/>
        <v>769.31</v>
      </c>
      <c r="I6" s="35">
        <f t="shared" si="1"/>
        <v>176.94</v>
      </c>
      <c r="J6" s="35">
        <f t="shared" si="2"/>
        <v>1538.62</v>
      </c>
      <c r="K6" s="35">
        <v>417.23</v>
      </c>
    </row>
    <row r="7" spans="1:14" x14ac:dyDescent="0.3">
      <c r="A7" s="33" t="s">
        <v>94</v>
      </c>
      <c r="B7" s="32">
        <v>43777</v>
      </c>
      <c r="C7" s="35">
        <v>117.26</v>
      </c>
      <c r="D7" s="35">
        <v>829</v>
      </c>
      <c r="E7" s="35">
        <v>6.93</v>
      </c>
      <c r="F7" s="35">
        <v>16</v>
      </c>
      <c r="G7" s="33">
        <v>136.5</v>
      </c>
      <c r="H7" s="35">
        <f t="shared" si="0"/>
        <v>1237.74</v>
      </c>
      <c r="I7" s="35">
        <f t="shared" si="1"/>
        <v>247.55</v>
      </c>
      <c r="J7" s="35">
        <f t="shared" si="2"/>
        <v>2475.48</v>
      </c>
      <c r="K7" s="35"/>
    </row>
    <row r="8" spans="1:14" x14ac:dyDescent="0.3">
      <c r="A8" s="33" t="s">
        <v>56</v>
      </c>
      <c r="B8" s="32">
        <v>43523</v>
      </c>
      <c r="C8" s="35">
        <v>880</v>
      </c>
      <c r="D8" s="35"/>
      <c r="E8" s="35">
        <v>11</v>
      </c>
      <c r="F8" s="35">
        <v>16</v>
      </c>
      <c r="G8" s="33">
        <v>80</v>
      </c>
      <c r="H8" s="35">
        <f t="shared" si="0"/>
        <v>400</v>
      </c>
      <c r="I8" s="35">
        <f t="shared" si="1"/>
        <v>112</v>
      </c>
      <c r="J8" s="35">
        <f t="shared" si="2"/>
        <v>800</v>
      </c>
      <c r="K8" s="35">
        <v>417.23</v>
      </c>
    </row>
    <row r="9" spans="1:14" x14ac:dyDescent="0.3">
      <c r="A9" s="33"/>
      <c r="B9" s="33"/>
      <c r="C9" s="35"/>
      <c r="D9" s="35"/>
      <c r="E9" s="35"/>
      <c r="F9" s="35"/>
      <c r="G9" s="33"/>
      <c r="H9" s="54">
        <f>SUM(H2:H8)</f>
        <v>5599.1799999999994</v>
      </c>
      <c r="I9" s="54">
        <f>SUM(I2:I8)</f>
        <v>1257.58</v>
      </c>
      <c r="J9" s="54">
        <f>SUM(J2:J8)</f>
        <v>11198.359999999999</v>
      </c>
      <c r="K9" s="54">
        <f>SUM(K2:K8)</f>
        <v>2086.15</v>
      </c>
    </row>
    <row r="10" spans="1:14" x14ac:dyDescent="0.3">
      <c r="A10" s="33"/>
      <c r="B10" s="33"/>
      <c r="C10" s="35"/>
      <c r="D10" s="35"/>
      <c r="E10" s="35"/>
      <c r="F10" s="35"/>
      <c r="G10" s="33"/>
    </row>
    <row r="11" spans="1:14" x14ac:dyDescent="0.3">
      <c r="A11" s="33"/>
      <c r="B11" s="33"/>
      <c r="C11" s="35"/>
      <c r="D11" s="35"/>
      <c r="E11" s="35"/>
      <c r="F11" s="35"/>
      <c r="G11" s="33"/>
    </row>
    <row r="12" spans="1:14" x14ac:dyDescent="0.3">
      <c r="A12" s="33"/>
      <c r="B12" s="33"/>
      <c r="C12" s="35"/>
      <c r="D12" s="35"/>
      <c r="E12" s="35"/>
      <c r="F12" s="35"/>
      <c r="G12" s="33"/>
    </row>
    <row r="13" spans="1:14" x14ac:dyDescent="0.3">
      <c r="A13" s="33"/>
      <c r="B13" s="33"/>
      <c r="C13" s="35"/>
      <c r="D13" s="35"/>
      <c r="E13" s="35"/>
      <c r="F13" s="35"/>
      <c r="G13" s="33"/>
    </row>
    <row r="14" spans="1:14" x14ac:dyDescent="0.3">
      <c r="A14" s="33"/>
      <c r="B14" s="33"/>
      <c r="C14" s="35"/>
      <c r="D14" s="35"/>
      <c r="E14" s="35"/>
      <c r="F14" s="35"/>
      <c r="G14" s="33"/>
    </row>
    <row r="15" spans="1:14" x14ac:dyDescent="0.3">
      <c r="A15" s="33"/>
      <c r="B15" s="33"/>
      <c r="C15" s="35"/>
      <c r="D15" s="35"/>
      <c r="E15" s="35"/>
      <c r="F15" s="35"/>
      <c r="G15" s="33"/>
    </row>
    <row r="16" spans="1:14" x14ac:dyDescent="0.3">
      <c r="A16" s="33"/>
      <c r="B16" s="33"/>
      <c r="C16" s="35"/>
      <c r="D16" s="35"/>
      <c r="E16" s="35"/>
      <c r="F16" s="35"/>
      <c r="G16" s="33"/>
    </row>
    <row r="17" spans="1:7" x14ac:dyDescent="0.3">
      <c r="A17" s="33"/>
      <c r="B17" s="33"/>
      <c r="C17" s="33"/>
      <c r="D17" s="33"/>
      <c r="E17" s="35"/>
      <c r="F17" s="35"/>
      <c r="G17" s="33"/>
    </row>
    <row r="18" spans="1:7" x14ac:dyDescent="0.3">
      <c r="A18" s="33"/>
      <c r="B18" s="33"/>
      <c r="C18" s="33"/>
      <c r="D18" s="33"/>
      <c r="E18" s="35"/>
      <c r="F18" s="35"/>
      <c r="G18" s="33"/>
    </row>
    <row r="19" spans="1:7" x14ac:dyDescent="0.3">
      <c r="A19" s="33"/>
      <c r="B19" s="33"/>
      <c r="C19" s="33"/>
      <c r="D19" s="33"/>
      <c r="E19" s="33"/>
      <c r="F19" s="33"/>
      <c r="G19" s="33"/>
    </row>
    <row r="20" spans="1:7" x14ac:dyDescent="0.3">
      <c r="A20" s="33"/>
      <c r="B20" s="33"/>
      <c r="C20" s="33"/>
      <c r="D20" s="33"/>
      <c r="E20" s="33"/>
      <c r="F20" s="33"/>
      <c r="G20" s="33"/>
    </row>
    <row r="21" spans="1:7" x14ac:dyDescent="0.3">
      <c r="A21" s="33"/>
      <c r="B21" s="33"/>
      <c r="C21" s="33"/>
      <c r="D21" s="33"/>
      <c r="E21" s="33"/>
      <c r="F21" s="33"/>
      <c r="G21" s="33"/>
    </row>
    <row r="22" spans="1:7" x14ac:dyDescent="0.3">
      <c r="A22" s="33"/>
      <c r="B22" s="33"/>
      <c r="C22" s="33"/>
      <c r="D22" s="33"/>
      <c r="E22" s="33"/>
      <c r="F22" s="33"/>
      <c r="G22" s="33"/>
    </row>
  </sheetData>
  <sheetProtection algorithmName="SHA-512" hashValue="X76/6Z8JEnEsaQPMka1POn69CWinxbWysHfTpqf/NQUwgIwhe3hVyHxY8bki4xwsUdvsQRLeQA8HafcSnPa6kw==" saltValue="7qc65ZW0ZxLQjE5BLEnsuw==" spinCount="100000" sheet="1" objects="1" scenarios="1" selectLockedCells="1" selectUnlockedCells="1"/>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3314-9561-4AF1-B7AC-B5C0DA68160B}">
  <dimension ref="A3:I66"/>
  <sheetViews>
    <sheetView workbookViewId="0">
      <selection activeCell="C19" sqref="C19"/>
    </sheetView>
  </sheetViews>
  <sheetFormatPr defaultRowHeight="14.4" x14ac:dyDescent="0.3"/>
  <cols>
    <col min="1" max="1" width="31.44140625" bestFit="1" customWidth="1"/>
    <col min="2" max="2" width="16.33203125" bestFit="1" customWidth="1"/>
    <col min="3" max="3" width="11.5546875" bestFit="1" customWidth="1"/>
    <col min="4" max="5" width="8" bestFit="1" customWidth="1"/>
    <col min="6" max="6" width="6.88671875" bestFit="1" customWidth="1"/>
    <col min="7" max="7" width="9.109375" bestFit="1" customWidth="1"/>
    <col min="8" max="8" width="12.109375" bestFit="1" customWidth="1"/>
    <col min="9" max="9" width="11.33203125" bestFit="1" customWidth="1"/>
    <col min="10" max="12" width="9.6640625" bestFit="1" customWidth="1"/>
    <col min="13" max="14" width="8.6640625" bestFit="1" customWidth="1"/>
    <col min="15" max="19" width="9.6640625" bestFit="1" customWidth="1"/>
    <col min="20" max="20" width="8.6640625" bestFit="1" customWidth="1"/>
    <col min="21" max="22" width="9.6640625" bestFit="1" customWidth="1"/>
    <col min="23" max="24" width="8.6640625" bestFit="1" customWidth="1"/>
    <col min="25" max="27" width="9.6640625" bestFit="1" customWidth="1"/>
    <col min="28" max="29" width="8.6640625" bestFit="1" customWidth="1"/>
    <col min="30" max="32" width="9.6640625" bestFit="1" customWidth="1"/>
    <col min="33" max="33" width="8.6640625" bestFit="1" customWidth="1"/>
    <col min="34" max="37" width="9.6640625" bestFit="1" customWidth="1"/>
    <col min="38" max="38" width="8.6640625" bestFit="1" customWidth="1"/>
    <col min="39" max="41" width="9.6640625" bestFit="1" customWidth="1"/>
    <col min="42" max="44" width="10.6640625" bestFit="1" customWidth="1"/>
    <col min="45" max="46" width="9.6640625" bestFit="1" customWidth="1"/>
    <col min="47" max="49" width="10.6640625" bestFit="1" customWidth="1"/>
    <col min="50" max="51" width="9.6640625" bestFit="1" customWidth="1"/>
    <col min="52" max="56" width="10.6640625" bestFit="1" customWidth="1"/>
    <col min="57" max="57" width="9.88671875" bestFit="1" customWidth="1"/>
    <col min="58" max="58" width="6.88671875" bestFit="1" customWidth="1"/>
    <col min="59" max="59" width="9.109375" bestFit="1" customWidth="1"/>
    <col min="60" max="60" width="12.109375" bestFit="1" customWidth="1"/>
    <col min="61" max="62" width="11.33203125" bestFit="1" customWidth="1"/>
    <col min="63" max="63" width="13.6640625" bestFit="1" customWidth="1"/>
    <col min="64" max="64" width="11.5546875" bestFit="1" customWidth="1"/>
    <col min="65" max="65" width="14.6640625" bestFit="1" customWidth="1"/>
    <col min="66" max="66" width="11.5546875" bestFit="1" customWidth="1"/>
    <col min="67" max="67" width="14.6640625" bestFit="1" customWidth="1"/>
    <col min="68" max="68" width="11.5546875" bestFit="1" customWidth="1"/>
    <col min="69" max="69" width="14.6640625" bestFit="1" customWidth="1"/>
    <col min="70" max="70" width="11.5546875" bestFit="1" customWidth="1"/>
    <col min="71" max="71" width="14.6640625" bestFit="1" customWidth="1"/>
    <col min="72" max="72" width="10.5546875" bestFit="1" customWidth="1"/>
    <col min="73" max="73" width="13.6640625" bestFit="1" customWidth="1"/>
    <col min="74" max="74" width="11.5546875" bestFit="1" customWidth="1"/>
    <col min="75" max="75" width="14.6640625" bestFit="1" customWidth="1"/>
    <col min="76" max="76" width="11.5546875" bestFit="1" customWidth="1"/>
    <col min="77" max="77" width="14.6640625" bestFit="1" customWidth="1"/>
    <col min="78" max="78" width="11.5546875" bestFit="1" customWidth="1"/>
    <col min="79" max="79" width="14.6640625" bestFit="1" customWidth="1"/>
    <col min="80" max="80" width="12.5546875" bestFit="1" customWidth="1"/>
    <col min="81" max="81" width="15.6640625" bestFit="1" customWidth="1"/>
    <col min="82" max="82" width="12.5546875" bestFit="1" customWidth="1"/>
    <col min="83" max="83" width="15.6640625" bestFit="1" customWidth="1"/>
    <col min="84" max="84" width="12.5546875" bestFit="1" customWidth="1"/>
    <col min="85" max="85" width="15.6640625" bestFit="1" customWidth="1"/>
    <col min="86" max="86" width="11.5546875" bestFit="1" customWidth="1"/>
    <col min="87" max="87" width="14.6640625" bestFit="1" customWidth="1"/>
    <col min="88" max="88" width="11.5546875" bestFit="1" customWidth="1"/>
    <col min="89" max="89" width="14.6640625" bestFit="1" customWidth="1"/>
    <col min="90" max="90" width="12.5546875" bestFit="1" customWidth="1"/>
    <col min="91" max="91" width="15.6640625" bestFit="1" customWidth="1"/>
    <col min="92" max="92" width="12.5546875" bestFit="1" customWidth="1"/>
    <col min="93" max="93" width="15.6640625" bestFit="1" customWidth="1"/>
    <col min="94" max="94" width="12.5546875" bestFit="1" customWidth="1"/>
    <col min="95" max="95" width="15.6640625" bestFit="1" customWidth="1"/>
    <col min="96" max="96" width="11.5546875" bestFit="1" customWidth="1"/>
    <col min="97" max="97" width="14.6640625" bestFit="1" customWidth="1"/>
    <col min="98" max="98" width="11.5546875" bestFit="1" customWidth="1"/>
    <col min="99" max="99" width="14.6640625" bestFit="1" customWidth="1"/>
    <col min="100" max="100" width="12.5546875" bestFit="1" customWidth="1"/>
    <col min="101" max="101" width="15.6640625" bestFit="1" customWidth="1"/>
    <col min="102" max="102" width="12.5546875" bestFit="1" customWidth="1"/>
    <col min="103" max="103" width="15.6640625" bestFit="1" customWidth="1"/>
    <col min="104" max="104" width="12.5546875" bestFit="1" customWidth="1"/>
    <col min="105" max="105" width="15.6640625" bestFit="1" customWidth="1"/>
    <col min="106" max="106" width="12.5546875" bestFit="1" customWidth="1"/>
    <col min="107" max="107" width="15.6640625" bestFit="1" customWidth="1"/>
    <col min="108" max="108" width="12.5546875" bestFit="1" customWidth="1"/>
    <col min="109" max="109" width="15.6640625" bestFit="1" customWidth="1"/>
    <col min="110" max="110" width="9.44140625" bestFit="1" customWidth="1"/>
    <col min="111" max="111" width="9.109375" bestFit="1" customWidth="1"/>
    <col min="112" max="112" width="12.109375" bestFit="1" customWidth="1"/>
    <col min="113" max="113" width="11.33203125" bestFit="1" customWidth="1"/>
    <col min="114" max="114" width="9.6640625" bestFit="1" customWidth="1"/>
    <col min="115" max="115" width="8.6640625" bestFit="1" customWidth="1"/>
    <col min="116" max="118" width="9.6640625" bestFit="1" customWidth="1"/>
    <col min="119" max="119" width="8.6640625" bestFit="1" customWidth="1"/>
    <col min="120" max="124" width="9.6640625" bestFit="1" customWidth="1"/>
    <col min="125" max="125" width="8.6640625" bestFit="1" customWidth="1"/>
    <col min="126" max="129" width="9.6640625" bestFit="1" customWidth="1"/>
    <col min="130" max="130" width="8.6640625" bestFit="1" customWidth="1"/>
    <col min="131" max="133" width="9.6640625" bestFit="1" customWidth="1"/>
    <col min="134" max="134" width="12.44140625" bestFit="1" customWidth="1"/>
    <col min="135" max="135" width="9.109375" bestFit="1" customWidth="1"/>
    <col min="136" max="136" width="12.109375" bestFit="1" customWidth="1"/>
    <col min="137" max="137" width="11.33203125" bestFit="1" customWidth="1"/>
    <col min="138" max="138" width="11.5546875" bestFit="1" customWidth="1"/>
    <col min="139" max="139" width="14.6640625" bestFit="1" customWidth="1"/>
    <col min="140" max="140" width="10.5546875" bestFit="1" customWidth="1"/>
    <col min="141" max="141" width="13.6640625" bestFit="1" customWidth="1"/>
    <col min="142" max="142" width="11.5546875" bestFit="1" customWidth="1"/>
    <col min="143" max="143" width="14.6640625" bestFit="1" customWidth="1"/>
    <col min="144" max="144" width="11.5546875" bestFit="1" customWidth="1"/>
    <col min="145" max="145" width="14.6640625" bestFit="1" customWidth="1"/>
    <col min="146" max="146" width="11.5546875" bestFit="1" customWidth="1"/>
    <col min="147" max="147" width="14.6640625" bestFit="1" customWidth="1"/>
    <col min="148" max="148" width="11.5546875" bestFit="1" customWidth="1"/>
    <col min="149" max="149" width="14.6640625" bestFit="1" customWidth="1"/>
    <col min="150" max="150" width="10.5546875" bestFit="1" customWidth="1"/>
    <col min="151" max="151" width="13.6640625" bestFit="1" customWidth="1"/>
    <col min="152" max="152" width="11.5546875" bestFit="1" customWidth="1"/>
    <col min="153" max="153" width="14.6640625" bestFit="1" customWidth="1"/>
    <col min="154" max="154" width="11.5546875" bestFit="1" customWidth="1"/>
    <col min="155" max="155" width="14.6640625" bestFit="1" customWidth="1"/>
    <col min="156" max="156" width="11.5546875" bestFit="1" customWidth="1"/>
    <col min="157" max="157" width="14.6640625" bestFit="1" customWidth="1"/>
    <col min="158" max="158" width="9.109375" bestFit="1" customWidth="1"/>
    <col min="159" max="159" width="12.109375" bestFit="1" customWidth="1"/>
    <col min="160" max="160" width="11.33203125" bestFit="1" customWidth="1"/>
    <col min="161" max="161" width="11.5546875" bestFit="1" customWidth="1"/>
    <col min="162" max="162" width="14.6640625" bestFit="1" customWidth="1"/>
    <col min="163" max="163" width="11.5546875" bestFit="1" customWidth="1"/>
    <col min="164" max="164" width="14.6640625" bestFit="1" customWidth="1"/>
    <col min="165" max="165" width="10.5546875" bestFit="1" customWidth="1"/>
    <col min="166" max="166" width="13.6640625" bestFit="1" customWidth="1"/>
    <col min="167" max="167" width="11.5546875" bestFit="1" customWidth="1"/>
    <col min="168" max="168" width="14.6640625" bestFit="1" customWidth="1"/>
    <col min="169" max="169" width="11.5546875" bestFit="1" customWidth="1"/>
    <col min="170" max="170" width="14.6640625" bestFit="1" customWidth="1"/>
    <col min="171" max="171" width="11.5546875" bestFit="1" customWidth="1"/>
    <col min="172" max="172" width="14.6640625" bestFit="1" customWidth="1"/>
    <col min="173" max="173" width="11.5546875" bestFit="1" customWidth="1"/>
    <col min="174" max="174" width="14.6640625" bestFit="1" customWidth="1"/>
    <col min="175" max="175" width="10.5546875" bestFit="1" customWidth="1"/>
    <col min="176" max="176" width="13.6640625" bestFit="1" customWidth="1"/>
    <col min="177" max="177" width="11.5546875" bestFit="1" customWidth="1"/>
    <col min="178" max="178" width="14.6640625" bestFit="1" customWidth="1"/>
    <col min="179" max="179" width="11.5546875" bestFit="1" customWidth="1"/>
    <col min="180" max="180" width="14.6640625" bestFit="1" customWidth="1"/>
    <col min="181" max="181" width="11.5546875" bestFit="1" customWidth="1"/>
    <col min="182" max="182" width="14.6640625" bestFit="1" customWidth="1"/>
    <col min="183" max="183" width="9.109375" bestFit="1" customWidth="1"/>
    <col min="184" max="184" width="12.109375" bestFit="1" customWidth="1"/>
    <col min="185" max="186" width="11.33203125" bestFit="1" customWidth="1"/>
  </cols>
  <sheetData>
    <row r="3" spans="1:9" x14ac:dyDescent="0.3">
      <c r="A3" s="45" t="s">
        <v>73</v>
      </c>
      <c r="B3" s="45" t="s">
        <v>153</v>
      </c>
    </row>
    <row r="4" spans="1:9" x14ac:dyDescent="0.3">
      <c r="B4" t="s">
        <v>77</v>
      </c>
      <c r="C4" s="28">
        <v>43042</v>
      </c>
      <c r="D4" t="s">
        <v>154</v>
      </c>
      <c r="E4" t="s">
        <v>155</v>
      </c>
      <c r="F4" t="s">
        <v>156</v>
      </c>
      <c r="G4" t="s">
        <v>157</v>
      </c>
      <c r="H4" t="s">
        <v>158</v>
      </c>
      <c r="I4" t="s">
        <v>121</v>
      </c>
    </row>
    <row r="5" spans="1:9" x14ac:dyDescent="0.3">
      <c r="A5" s="45" t="s">
        <v>159</v>
      </c>
      <c r="G5" t="s">
        <v>157</v>
      </c>
    </row>
    <row r="6" spans="1:9" x14ac:dyDescent="0.3">
      <c r="A6" s="7" t="s">
        <v>76</v>
      </c>
      <c r="B6" s="58">
        <v>110</v>
      </c>
      <c r="C6" s="58"/>
      <c r="D6" s="58">
        <v>404</v>
      </c>
      <c r="E6" s="58">
        <v>828</v>
      </c>
      <c r="F6" s="58"/>
      <c r="G6" s="58"/>
      <c r="H6" s="58"/>
      <c r="I6" s="58">
        <v>1342</v>
      </c>
    </row>
    <row r="7" spans="1:9" x14ac:dyDescent="0.3">
      <c r="A7" s="7" t="s">
        <v>78</v>
      </c>
      <c r="B7" s="58"/>
      <c r="C7" s="58"/>
      <c r="D7" s="58"/>
      <c r="E7" s="58"/>
      <c r="F7" s="58"/>
      <c r="G7" s="58"/>
      <c r="H7" s="58"/>
      <c r="I7" s="58"/>
    </row>
    <row r="8" spans="1:9" x14ac:dyDescent="0.3">
      <c r="A8" s="7" t="s">
        <v>79</v>
      </c>
      <c r="B8" s="58"/>
      <c r="C8" s="58"/>
      <c r="D8" s="58"/>
      <c r="E8" s="58"/>
      <c r="F8" s="58"/>
      <c r="G8" s="58"/>
      <c r="H8" s="58"/>
      <c r="I8" s="58"/>
    </row>
    <row r="9" spans="1:9" x14ac:dyDescent="0.3">
      <c r="A9" s="7" t="s">
        <v>80</v>
      </c>
      <c r="B9" s="58"/>
      <c r="C9" s="58"/>
      <c r="D9" s="58"/>
      <c r="E9" s="58">
        <v>1438.5</v>
      </c>
      <c r="F9" s="58"/>
      <c r="G9" s="58"/>
      <c r="H9" s="58"/>
      <c r="I9" s="58">
        <v>1438.5</v>
      </c>
    </row>
    <row r="10" spans="1:9" x14ac:dyDescent="0.3">
      <c r="A10" s="7" t="s">
        <v>81</v>
      </c>
      <c r="B10" s="58"/>
      <c r="C10" s="58"/>
      <c r="D10" s="58"/>
      <c r="E10" s="58"/>
      <c r="F10" s="58"/>
      <c r="G10" s="58"/>
      <c r="H10" s="58"/>
      <c r="I10" s="58"/>
    </row>
    <row r="11" spans="1:9" x14ac:dyDescent="0.3">
      <c r="A11" s="7" t="s">
        <v>82</v>
      </c>
      <c r="B11" s="58"/>
      <c r="C11" s="58"/>
      <c r="D11" s="58"/>
      <c r="E11" s="58"/>
      <c r="F11" s="58"/>
      <c r="G11" s="58"/>
      <c r="H11" s="58"/>
      <c r="I11" s="58"/>
    </row>
    <row r="12" spans="1:9" x14ac:dyDescent="0.3">
      <c r="A12" s="7" t="s">
        <v>83</v>
      </c>
      <c r="B12" s="58"/>
      <c r="C12" s="58"/>
      <c r="D12" s="58"/>
      <c r="E12" s="58"/>
      <c r="F12" s="58"/>
      <c r="G12" s="58"/>
      <c r="H12" s="58"/>
      <c r="I12" s="58"/>
    </row>
    <row r="13" spans="1:9" x14ac:dyDescent="0.3">
      <c r="A13" s="7" t="s">
        <v>84</v>
      </c>
      <c r="B13" s="58"/>
      <c r="C13" s="58"/>
      <c r="D13" s="58">
        <v>197.5</v>
      </c>
      <c r="E13" s="58">
        <v>1912.5</v>
      </c>
      <c r="F13" s="58">
        <v>672</v>
      </c>
      <c r="G13" s="58"/>
      <c r="H13" s="58"/>
      <c r="I13" s="58">
        <v>2782</v>
      </c>
    </row>
    <row r="14" spans="1:9" x14ac:dyDescent="0.3">
      <c r="A14" s="7" t="s">
        <v>85</v>
      </c>
      <c r="B14" s="58"/>
      <c r="C14" s="58"/>
      <c r="D14" s="58"/>
      <c r="E14" s="58">
        <v>431.5</v>
      </c>
      <c r="F14" s="58"/>
      <c r="G14" s="58"/>
      <c r="H14" s="58"/>
      <c r="I14" s="58">
        <v>431.5</v>
      </c>
    </row>
    <row r="15" spans="1:9" x14ac:dyDescent="0.3">
      <c r="A15" s="7" t="s">
        <v>86</v>
      </c>
      <c r="B15" s="58"/>
      <c r="C15" s="58">
        <v>102</v>
      </c>
      <c r="D15" s="58">
        <v>1776.75</v>
      </c>
      <c r="E15" s="58">
        <v>2138</v>
      </c>
      <c r="F15" s="58">
        <v>491.5</v>
      </c>
      <c r="G15" s="58"/>
      <c r="H15" s="58"/>
      <c r="I15" s="58">
        <v>4508.25</v>
      </c>
    </row>
    <row r="16" spans="1:9" x14ac:dyDescent="0.3">
      <c r="A16" s="7" t="s">
        <v>87</v>
      </c>
      <c r="B16" s="58"/>
      <c r="C16" s="58"/>
      <c r="D16" s="58">
        <v>232</v>
      </c>
      <c r="E16" s="58">
        <v>5</v>
      </c>
      <c r="F16" s="58"/>
      <c r="G16" s="58"/>
      <c r="H16" s="58"/>
      <c r="I16" s="58">
        <v>237</v>
      </c>
    </row>
    <row r="17" spans="1:9" x14ac:dyDescent="0.3">
      <c r="A17" s="7" t="s">
        <v>88</v>
      </c>
      <c r="B17" s="58"/>
      <c r="C17" s="58"/>
      <c r="D17" s="58"/>
      <c r="E17" s="58"/>
      <c r="F17" s="58"/>
      <c r="G17" s="58"/>
      <c r="H17" s="58"/>
      <c r="I17" s="58"/>
    </row>
    <row r="18" spans="1:9" x14ac:dyDescent="0.3">
      <c r="A18" s="7" t="s">
        <v>89</v>
      </c>
      <c r="B18" s="58"/>
      <c r="C18" s="58"/>
      <c r="D18" s="58"/>
      <c r="E18" s="58"/>
      <c r="F18" s="58">
        <v>70.5</v>
      </c>
      <c r="G18" s="58"/>
      <c r="H18" s="58"/>
      <c r="I18" s="58">
        <v>70.5</v>
      </c>
    </row>
    <row r="19" spans="1:9" x14ac:dyDescent="0.3">
      <c r="A19" s="7" t="s">
        <v>90</v>
      </c>
      <c r="B19" s="58"/>
      <c r="C19" s="58"/>
      <c r="D19" s="58"/>
      <c r="E19" s="58">
        <v>771.5</v>
      </c>
      <c r="F19" s="58"/>
      <c r="G19" s="58"/>
      <c r="H19" s="58"/>
      <c r="I19" s="58">
        <v>771.5</v>
      </c>
    </row>
    <row r="20" spans="1:9" x14ac:dyDescent="0.3">
      <c r="A20" s="7" t="s">
        <v>91</v>
      </c>
      <c r="B20" s="58"/>
      <c r="C20" s="58"/>
      <c r="D20" s="58"/>
      <c r="E20" s="58"/>
      <c r="F20" s="58"/>
      <c r="G20" s="58"/>
      <c r="H20" s="58"/>
      <c r="I20" s="58"/>
    </row>
    <row r="21" spans="1:9" x14ac:dyDescent="0.3">
      <c r="A21" s="7" t="s">
        <v>92</v>
      </c>
      <c r="B21" s="58"/>
      <c r="C21" s="58"/>
      <c r="D21" s="58"/>
      <c r="E21" s="58"/>
      <c r="F21" s="58"/>
      <c r="G21" s="58"/>
      <c r="H21" s="58"/>
      <c r="I21" s="58"/>
    </row>
    <row r="22" spans="1:9" x14ac:dyDescent="0.3">
      <c r="A22" s="7" t="s">
        <v>93</v>
      </c>
      <c r="B22" s="58"/>
      <c r="C22" s="58"/>
      <c r="D22" s="58"/>
      <c r="E22" s="58"/>
      <c r="F22" s="58"/>
      <c r="G22" s="58"/>
      <c r="H22" s="58"/>
      <c r="I22" s="58"/>
    </row>
    <row r="23" spans="1:9" x14ac:dyDescent="0.3">
      <c r="A23" s="7" t="s">
        <v>46</v>
      </c>
      <c r="B23" s="58">
        <v>107.5</v>
      </c>
      <c r="C23" s="58"/>
      <c r="D23" s="58"/>
      <c r="E23" s="58"/>
      <c r="F23" s="58">
        <v>263</v>
      </c>
      <c r="G23" s="58"/>
      <c r="H23" s="58"/>
      <c r="I23" s="58">
        <v>370.5</v>
      </c>
    </row>
    <row r="24" spans="1:9" x14ac:dyDescent="0.3">
      <c r="A24" s="7" t="s">
        <v>48</v>
      </c>
      <c r="B24" s="58"/>
      <c r="C24" s="58"/>
      <c r="D24" s="58"/>
      <c r="E24" s="58">
        <v>90.5</v>
      </c>
      <c r="F24" s="58">
        <v>773</v>
      </c>
      <c r="G24" s="58"/>
      <c r="H24" s="58"/>
      <c r="I24" s="58">
        <v>863.5</v>
      </c>
    </row>
    <row r="25" spans="1:9" x14ac:dyDescent="0.3">
      <c r="A25" s="7" t="s">
        <v>94</v>
      </c>
      <c r="B25" s="58"/>
      <c r="C25" s="58"/>
      <c r="D25" s="58"/>
      <c r="E25" s="58">
        <v>1698.5</v>
      </c>
      <c r="F25" s="58">
        <v>1041</v>
      </c>
      <c r="G25" s="58"/>
      <c r="H25" s="58"/>
      <c r="I25" s="58">
        <v>2739.5</v>
      </c>
    </row>
    <row r="26" spans="1:9" x14ac:dyDescent="0.3">
      <c r="A26" s="7" t="s">
        <v>95</v>
      </c>
      <c r="B26" s="58"/>
      <c r="C26" s="58"/>
      <c r="D26" s="58">
        <v>136</v>
      </c>
      <c r="E26" s="58">
        <v>2396.5</v>
      </c>
      <c r="F26" s="58">
        <v>675.5</v>
      </c>
      <c r="G26" s="58"/>
      <c r="H26" s="58"/>
      <c r="I26" s="58">
        <v>3208</v>
      </c>
    </row>
    <row r="27" spans="1:9" x14ac:dyDescent="0.3">
      <c r="A27" s="7" t="s">
        <v>96</v>
      </c>
      <c r="B27" s="58"/>
      <c r="C27" s="58"/>
      <c r="D27" s="58">
        <v>135</v>
      </c>
      <c r="E27" s="58">
        <v>1558</v>
      </c>
      <c r="F27" s="58"/>
      <c r="G27" s="58"/>
      <c r="H27" s="58"/>
      <c r="I27" s="58">
        <v>1693</v>
      </c>
    </row>
    <row r="28" spans="1:9" x14ac:dyDescent="0.3">
      <c r="A28" s="7" t="s">
        <v>97</v>
      </c>
      <c r="B28" s="58"/>
      <c r="C28" s="58"/>
      <c r="D28" s="58">
        <v>251</v>
      </c>
      <c r="E28" s="58">
        <v>1308.5</v>
      </c>
      <c r="F28" s="58"/>
      <c r="G28" s="58"/>
      <c r="H28" s="58"/>
      <c r="I28" s="58">
        <v>1559.5</v>
      </c>
    </row>
    <row r="29" spans="1:9" x14ac:dyDescent="0.3">
      <c r="A29" s="7" t="s">
        <v>49</v>
      </c>
      <c r="B29" s="58"/>
      <c r="C29" s="58"/>
      <c r="D29" s="58"/>
      <c r="E29" s="58"/>
      <c r="F29" s="58">
        <v>53</v>
      </c>
      <c r="G29" s="58"/>
      <c r="H29" s="58"/>
      <c r="I29" s="58">
        <v>53</v>
      </c>
    </row>
    <row r="30" spans="1:9" x14ac:dyDescent="0.3">
      <c r="A30" s="7" t="s">
        <v>98</v>
      </c>
      <c r="B30" s="58"/>
      <c r="C30" s="58"/>
      <c r="D30" s="58"/>
      <c r="E30" s="58"/>
      <c r="F30" s="58"/>
      <c r="G30" s="58"/>
      <c r="H30" s="58"/>
      <c r="I30" s="58"/>
    </row>
    <row r="31" spans="1:9" x14ac:dyDescent="0.3">
      <c r="A31" s="7" t="s">
        <v>99</v>
      </c>
      <c r="B31" s="58"/>
      <c r="C31" s="58"/>
      <c r="D31" s="58"/>
      <c r="E31" s="58">
        <v>567.5</v>
      </c>
      <c r="F31" s="58">
        <v>238</v>
      </c>
      <c r="G31" s="58"/>
      <c r="H31" s="58"/>
      <c r="I31" s="58">
        <v>805.5</v>
      </c>
    </row>
    <row r="32" spans="1:9" x14ac:dyDescent="0.3">
      <c r="A32" s="7" t="s">
        <v>100</v>
      </c>
      <c r="B32" s="58"/>
      <c r="C32" s="58"/>
      <c r="D32" s="58">
        <v>306</v>
      </c>
      <c r="E32" s="58">
        <v>90.5</v>
      </c>
      <c r="F32" s="58"/>
      <c r="G32" s="58"/>
      <c r="H32" s="58"/>
      <c r="I32" s="58">
        <v>396.5</v>
      </c>
    </row>
    <row r="33" spans="1:9" x14ac:dyDescent="0.3">
      <c r="A33" s="7" t="s">
        <v>50</v>
      </c>
      <c r="B33" s="58"/>
      <c r="C33" s="58"/>
      <c r="D33" s="58"/>
      <c r="E33" s="58">
        <v>2271</v>
      </c>
      <c r="F33" s="58">
        <v>736.5</v>
      </c>
      <c r="G33" s="58"/>
      <c r="H33" s="58"/>
      <c r="I33" s="58">
        <v>3007.5</v>
      </c>
    </row>
    <row r="34" spans="1:9" x14ac:dyDescent="0.3">
      <c r="A34" s="7" t="s">
        <v>51</v>
      </c>
      <c r="B34" s="58"/>
      <c r="C34" s="58"/>
      <c r="D34" s="58"/>
      <c r="E34" s="58">
        <v>860</v>
      </c>
      <c r="F34" s="58">
        <v>706</v>
      </c>
      <c r="G34" s="58"/>
      <c r="H34" s="58"/>
      <c r="I34" s="58">
        <v>1566</v>
      </c>
    </row>
    <row r="35" spans="1:9" x14ac:dyDescent="0.3">
      <c r="A35" s="7" t="s">
        <v>52</v>
      </c>
      <c r="B35" s="58"/>
      <c r="C35" s="58"/>
      <c r="D35" s="58"/>
      <c r="E35" s="58"/>
      <c r="F35" s="58">
        <v>418</v>
      </c>
      <c r="G35" s="58"/>
      <c r="H35" s="58"/>
      <c r="I35" s="58">
        <v>418</v>
      </c>
    </row>
    <row r="36" spans="1:9" x14ac:dyDescent="0.3">
      <c r="A36" s="7" t="s">
        <v>101</v>
      </c>
      <c r="B36" s="58"/>
      <c r="C36" s="58"/>
      <c r="D36" s="58"/>
      <c r="E36" s="58">
        <v>1979</v>
      </c>
      <c r="F36" s="58"/>
      <c r="G36" s="58"/>
      <c r="H36" s="58"/>
      <c r="I36" s="58">
        <v>1979</v>
      </c>
    </row>
    <row r="37" spans="1:9" x14ac:dyDescent="0.3">
      <c r="A37" s="7" t="s">
        <v>102</v>
      </c>
      <c r="B37" s="58"/>
      <c r="C37" s="58"/>
      <c r="D37" s="58"/>
      <c r="E37" s="58"/>
      <c r="F37" s="58"/>
      <c r="G37" s="58"/>
      <c r="H37" s="58"/>
      <c r="I37" s="58"/>
    </row>
    <row r="38" spans="1:9" x14ac:dyDescent="0.3">
      <c r="A38" s="7" t="s">
        <v>103</v>
      </c>
      <c r="B38" s="58"/>
      <c r="C38" s="58"/>
      <c r="D38" s="58"/>
      <c r="E38" s="58"/>
      <c r="F38" s="58"/>
      <c r="G38" s="58"/>
      <c r="H38" s="58"/>
      <c r="I38" s="58"/>
    </row>
    <row r="39" spans="1:9" x14ac:dyDescent="0.3">
      <c r="A39" s="7" t="s">
        <v>104</v>
      </c>
      <c r="B39" s="58"/>
      <c r="C39" s="58"/>
      <c r="D39" s="58"/>
      <c r="E39" s="58">
        <v>327.5</v>
      </c>
      <c r="F39" s="58">
        <v>408</v>
      </c>
      <c r="G39" s="58"/>
      <c r="H39" s="58"/>
      <c r="I39" s="58">
        <v>735.5</v>
      </c>
    </row>
    <row r="40" spans="1:9" x14ac:dyDescent="0.3">
      <c r="A40" s="7" t="s">
        <v>53</v>
      </c>
      <c r="B40" s="58"/>
      <c r="C40" s="58"/>
      <c r="D40" s="58"/>
      <c r="E40" s="58"/>
      <c r="F40" s="58">
        <v>444</v>
      </c>
      <c r="G40" s="58"/>
      <c r="H40" s="58"/>
      <c r="I40" s="58">
        <v>444</v>
      </c>
    </row>
    <row r="41" spans="1:9" x14ac:dyDescent="0.3">
      <c r="A41" s="7" t="s">
        <v>105</v>
      </c>
      <c r="B41" s="58"/>
      <c r="C41" s="58"/>
      <c r="D41" s="58"/>
      <c r="E41" s="58">
        <v>567</v>
      </c>
      <c r="F41" s="58"/>
      <c r="G41" s="58"/>
      <c r="H41" s="58"/>
      <c r="I41" s="58">
        <v>567</v>
      </c>
    </row>
    <row r="42" spans="1:9" x14ac:dyDescent="0.3">
      <c r="A42" s="7" t="s">
        <v>106</v>
      </c>
      <c r="B42" s="58"/>
      <c r="C42" s="58"/>
      <c r="D42" s="58"/>
      <c r="E42" s="58">
        <v>75</v>
      </c>
      <c r="F42" s="58"/>
      <c r="G42" s="58"/>
      <c r="H42" s="58"/>
      <c r="I42" s="58">
        <v>75</v>
      </c>
    </row>
    <row r="43" spans="1:9" x14ac:dyDescent="0.3">
      <c r="A43" s="7" t="s">
        <v>54</v>
      </c>
      <c r="B43" s="58"/>
      <c r="C43" s="58"/>
      <c r="D43" s="58"/>
      <c r="E43" s="58">
        <v>696</v>
      </c>
      <c r="F43" s="58">
        <v>352</v>
      </c>
      <c r="G43" s="58"/>
      <c r="H43" s="58"/>
      <c r="I43" s="58">
        <v>1048</v>
      </c>
    </row>
    <row r="44" spans="1:9" x14ac:dyDescent="0.3">
      <c r="A44" s="7" t="s">
        <v>107</v>
      </c>
      <c r="B44" s="58"/>
      <c r="C44" s="58"/>
      <c r="D44" s="58"/>
      <c r="E44" s="58"/>
      <c r="F44" s="58"/>
      <c r="G44" s="58"/>
      <c r="H44" s="58"/>
      <c r="I44" s="58"/>
    </row>
    <row r="45" spans="1:9" x14ac:dyDescent="0.3">
      <c r="A45" s="7" t="s">
        <v>108</v>
      </c>
      <c r="B45" s="58"/>
      <c r="C45" s="58"/>
      <c r="D45" s="58"/>
      <c r="E45" s="58">
        <v>151.5</v>
      </c>
      <c r="F45" s="58">
        <v>360</v>
      </c>
      <c r="G45" s="58"/>
      <c r="H45" s="58"/>
      <c r="I45" s="58">
        <v>511.5</v>
      </c>
    </row>
    <row r="46" spans="1:9" x14ac:dyDescent="0.3">
      <c r="A46" s="7" t="s">
        <v>109</v>
      </c>
      <c r="B46" s="58"/>
      <c r="C46" s="58"/>
      <c r="D46" s="58"/>
      <c r="E46" s="58"/>
      <c r="F46" s="58"/>
      <c r="G46" s="58"/>
      <c r="H46" s="58"/>
      <c r="I46" s="58"/>
    </row>
    <row r="47" spans="1:9" x14ac:dyDescent="0.3">
      <c r="A47" s="7" t="s">
        <v>55</v>
      </c>
      <c r="B47" s="58">
        <v>0</v>
      </c>
      <c r="C47" s="58"/>
      <c r="D47" s="58">
        <v>135</v>
      </c>
      <c r="E47" s="58">
        <v>1723.5</v>
      </c>
      <c r="F47" s="58">
        <v>712.5</v>
      </c>
      <c r="G47" s="58"/>
      <c r="H47" s="58"/>
      <c r="I47" s="58">
        <v>2571</v>
      </c>
    </row>
    <row r="48" spans="1:9" x14ac:dyDescent="0.3">
      <c r="A48" s="7" t="s">
        <v>110</v>
      </c>
      <c r="B48" s="58"/>
      <c r="C48" s="58"/>
      <c r="D48" s="58"/>
      <c r="E48" s="58"/>
      <c r="F48" s="58"/>
      <c r="G48" s="58"/>
      <c r="H48" s="58"/>
      <c r="I48" s="58"/>
    </row>
    <row r="49" spans="1:9" x14ac:dyDescent="0.3">
      <c r="A49" s="7" t="s">
        <v>56</v>
      </c>
      <c r="B49" s="58"/>
      <c r="C49" s="58"/>
      <c r="D49" s="58"/>
      <c r="E49" s="58">
        <v>437</v>
      </c>
      <c r="F49" s="58">
        <v>742.5</v>
      </c>
      <c r="G49" s="58"/>
      <c r="H49" s="58"/>
      <c r="I49" s="58">
        <v>1179.5</v>
      </c>
    </row>
    <row r="50" spans="1:9" x14ac:dyDescent="0.3">
      <c r="A50" s="7" t="s">
        <v>111</v>
      </c>
      <c r="B50" s="58"/>
      <c r="C50" s="58"/>
      <c r="D50" s="58"/>
      <c r="E50" s="58"/>
      <c r="F50" s="58"/>
      <c r="G50" s="58"/>
      <c r="H50" s="58"/>
      <c r="I50" s="58"/>
    </row>
    <row r="51" spans="1:9" x14ac:dyDescent="0.3">
      <c r="A51" s="7" t="s">
        <v>112</v>
      </c>
      <c r="B51" s="58"/>
      <c r="C51" s="58"/>
      <c r="D51" s="58"/>
      <c r="E51" s="58"/>
      <c r="F51" s="58"/>
      <c r="G51" s="58"/>
      <c r="H51" s="58"/>
      <c r="I51" s="58"/>
    </row>
    <row r="52" spans="1:9" x14ac:dyDescent="0.3">
      <c r="A52" s="7" t="s">
        <v>113</v>
      </c>
      <c r="B52" s="58"/>
      <c r="C52" s="58"/>
      <c r="D52" s="58"/>
      <c r="E52" s="58"/>
      <c r="F52" s="58"/>
      <c r="G52" s="58"/>
      <c r="H52" s="58"/>
      <c r="I52" s="58"/>
    </row>
    <row r="53" spans="1:9" x14ac:dyDescent="0.3">
      <c r="A53" s="7" t="s">
        <v>114</v>
      </c>
      <c r="B53" s="58"/>
      <c r="C53" s="58"/>
      <c r="D53" s="58"/>
      <c r="E53" s="58">
        <v>1409</v>
      </c>
      <c r="F53" s="58"/>
      <c r="G53" s="58"/>
      <c r="H53" s="58"/>
      <c r="I53" s="58">
        <v>1409</v>
      </c>
    </row>
    <row r="54" spans="1:9" x14ac:dyDescent="0.3">
      <c r="A54" s="7" t="s">
        <v>57</v>
      </c>
      <c r="B54" s="58"/>
      <c r="C54" s="58"/>
      <c r="D54" s="58"/>
      <c r="E54" s="58"/>
      <c r="F54" s="58">
        <v>488.5</v>
      </c>
      <c r="G54" s="58"/>
      <c r="H54" s="58"/>
      <c r="I54" s="58">
        <v>488.5</v>
      </c>
    </row>
    <row r="55" spans="1:9" x14ac:dyDescent="0.3">
      <c r="A55" s="7" t="s">
        <v>115</v>
      </c>
      <c r="B55" s="58"/>
      <c r="C55" s="58"/>
      <c r="D55" s="58"/>
      <c r="E55" s="58"/>
      <c r="F55" s="58"/>
      <c r="G55" s="58"/>
      <c r="H55" s="58"/>
      <c r="I55" s="58"/>
    </row>
    <row r="56" spans="1:9" x14ac:dyDescent="0.3">
      <c r="A56" s="7" t="s">
        <v>116</v>
      </c>
      <c r="B56" s="58"/>
      <c r="C56" s="58"/>
      <c r="D56" s="58"/>
      <c r="E56" s="58"/>
      <c r="F56" s="58"/>
      <c r="G56" s="58"/>
      <c r="H56" s="58"/>
      <c r="I56" s="58"/>
    </row>
    <row r="57" spans="1:9" x14ac:dyDescent="0.3">
      <c r="A57" s="7" t="s">
        <v>58</v>
      </c>
      <c r="B57" s="58"/>
      <c r="C57" s="58"/>
      <c r="D57" s="58"/>
      <c r="E57" s="58">
        <v>514.5</v>
      </c>
      <c r="F57" s="58">
        <v>229.5</v>
      </c>
      <c r="G57" s="58"/>
      <c r="H57" s="58"/>
      <c r="I57" s="58">
        <v>744</v>
      </c>
    </row>
    <row r="58" spans="1:9" x14ac:dyDescent="0.3">
      <c r="A58" s="7" t="s">
        <v>59</v>
      </c>
      <c r="B58" s="58"/>
      <c r="C58" s="58"/>
      <c r="D58" s="58"/>
      <c r="E58" s="58">
        <v>2142.5</v>
      </c>
      <c r="F58" s="58">
        <v>703.5</v>
      </c>
      <c r="G58" s="58"/>
      <c r="H58" s="58"/>
      <c r="I58" s="58">
        <v>2846</v>
      </c>
    </row>
    <row r="59" spans="1:9" x14ac:dyDescent="0.3">
      <c r="A59" s="7" t="s">
        <v>117</v>
      </c>
      <c r="B59" s="58"/>
      <c r="C59" s="58"/>
      <c r="D59" s="58">
        <v>136</v>
      </c>
      <c r="E59" s="58">
        <v>560.5</v>
      </c>
      <c r="F59" s="58"/>
      <c r="G59" s="58"/>
      <c r="H59" s="58"/>
      <c r="I59" s="58">
        <v>696.5</v>
      </c>
    </row>
    <row r="60" spans="1:9" x14ac:dyDescent="0.3">
      <c r="A60" s="7" t="s">
        <v>60</v>
      </c>
      <c r="B60" s="58"/>
      <c r="C60" s="58"/>
      <c r="D60" s="58"/>
      <c r="E60" s="58">
        <v>732</v>
      </c>
      <c r="F60" s="58">
        <v>585.5</v>
      </c>
      <c r="G60" s="58"/>
      <c r="H60" s="58"/>
      <c r="I60" s="58">
        <v>1317.5</v>
      </c>
    </row>
    <row r="61" spans="1:9" x14ac:dyDescent="0.3">
      <c r="A61" s="7" t="s">
        <v>61</v>
      </c>
      <c r="B61" s="58"/>
      <c r="C61" s="58"/>
      <c r="D61" s="58"/>
      <c r="E61" s="58">
        <v>1442.5</v>
      </c>
      <c r="F61" s="58">
        <v>831</v>
      </c>
      <c r="G61" s="58"/>
      <c r="H61" s="58"/>
      <c r="I61" s="58">
        <v>2273.5</v>
      </c>
    </row>
    <row r="62" spans="1:9" x14ac:dyDescent="0.3">
      <c r="A62" s="7" t="s">
        <v>62</v>
      </c>
      <c r="B62" s="58"/>
      <c r="C62" s="58"/>
      <c r="D62" s="58"/>
      <c r="E62" s="58"/>
      <c r="F62" s="58">
        <v>196</v>
      </c>
      <c r="G62" s="58"/>
      <c r="H62" s="58"/>
      <c r="I62" s="58">
        <v>196</v>
      </c>
    </row>
    <row r="63" spans="1:9" x14ac:dyDescent="0.3">
      <c r="A63" s="7" t="s">
        <v>118</v>
      </c>
      <c r="B63" s="58">
        <v>0</v>
      </c>
      <c r="C63" s="58"/>
      <c r="D63" s="58"/>
      <c r="E63" s="58">
        <v>121</v>
      </c>
      <c r="F63" s="58"/>
      <c r="G63" s="58"/>
      <c r="H63" s="58"/>
      <c r="I63" s="58">
        <v>121</v>
      </c>
    </row>
    <row r="64" spans="1:9" x14ac:dyDescent="0.3">
      <c r="A64" s="7" t="s">
        <v>157</v>
      </c>
      <c r="B64" s="58"/>
      <c r="C64" s="58"/>
      <c r="D64" s="58"/>
      <c r="E64" s="58"/>
      <c r="F64" s="58"/>
      <c r="G64" s="58"/>
      <c r="H64" s="58"/>
      <c r="I64" s="58"/>
    </row>
    <row r="65" spans="1:9" x14ac:dyDescent="0.3">
      <c r="A65" s="7" t="s">
        <v>119</v>
      </c>
      <c r="B65" s="58"/>
      <c r="C65" s="58"/>
      <c r="D65" s="58">
        <v>1056.75</v>
      </c>
      <c r="E65" s="58"/>
      <c r="F65" s="58"/>
      <c r="G65" s="58"/>
      <c r="H65" s="58"/>
      <c r="I65" s="58">
        <v>1056.75</v>
      </c>
    </row>
    <row r="66" spans="1:9" x14ac:dyDescent="0.3">
      <c r="A66" s="7" t="s">
        <v>121</v>
      </c>
      <c r="B66" s="58">
        <v>217.5</v>
      </c>
      <c r="C66" s="58">
        <v>102</v>
      </c>
      <c r="D66" s="58">
        <v>4766</v>
      </c>
      <c r="E66" s="58">
        <v>31244.5</v>
      </c>
      <c r="F66" s="58">
        <v>12191</v>
      </c>
      <c r="G66" s="58"/>
      <c r="H66" s="58"/>
      <c r="I66" s="58">
        <v>48521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0173-FE31-44CC-B7F7-2D412A381307}">
  <sheetPr>
    <tabColor rgb="FFFF0000"/>
  </sheetPr>
  <dimension ref="A1:AC57"/>
  <sheetViews>
    <sheetView workbookViewId="0">
      <selection sqref="A1:XFD1048576"/>
    </sheetView>
  </sheetViews>
  <sheetFormatPr defaultRowHeight="14.4" x14ac:dyDescent="0.3"/>
  <cols>
    <col min="1" max="1" width="30.88671875" customWidth="1"/>
    <col min="2" max="2" width="17.6640625" customWidth="1"/>
    <col min="3" max="9" width="12.109375" customWidth="1"/>
    <col min="10" max="11" width="11.88671875" customWidth="1"/>
    <col min="12" max="12" width="14.44140625" customWidth="1"/>
    <col min="13" max="13" width="15" customWidth="1"/>
    <col min="14" max="16" width="11.88671875" customWidth="1"/>
    <col min="17" max="24" width="12.6640625" customWidth="1"/>
    <col min="25" max="25" width="13.5546875" customWidth="1"/>
    <col min="26" max="26" width="14.33203125" customWidth="1"/>
    <col min="27" max="27" width="13" customWidth="1"/>
    <col min="28" max="28" width="15" customWidth="1"/>
  </cols>
  <sheetData>
    <row r="1" spans="1:29" ht="28.8" x14ac:dyDescent="0.3">
      <c r="A1" s="59" t="s">
        <v>4</v>
      </c>
      <c r="B1" s="33" t="s">
        <v>160</v>
      </c>
      <c r="C1" s="65" t="s">
        <v>161</v>
      </c>
      <c r="D1" s="65" t="s">
        <v>162</v>
      </c>
      <c r="E1" s="65" t="s">
        <v>163</v>
      </c>
      <c r="F1" s="65" t="s">
        <v>164</v>
      </c>
      <c r="G1" s="65" t="s">
        <v>165</v>
      </c>
      <c r="H1" s="65" t="s">
        <v>166</v>
      </c>
      <c r="I1" s="65" t="s">
        <v>167</v>
      </c>
      <c r="J1" s="66" t="s">
        <v>168</v>
      </c>
      <c r="K1" s="66" t="s">
        <v>169</v>
      </c>
      <c r="L1" s="66" t="s">
        <v>163</v>
      </c>
      <c r="M1" s="66" t="s">
        <v>164</v>
      </c>
      <c r="N1" s="66" t="s">
        <v>165</v>
      </c>
      <c r="O1" s="66" t="s">
        <v>166</v>
      </c>
      <c r="P1" s="66" t="s">
        <v>170</v>
      </c>
      <c r="Q1" s="67" t="s">
        <v>171</v>
      </c>
      <c r="R1" s="67" t="s">
        <v>172</v>
      </c>
      <c r="S1" s="67" t="s">
        <v>163</v>
      </c>
      <c r="T1" s="67" t="s">
        <v>164</v>
      </c>
      <c r="U1" s="67" t="s">
        <v>165</v>
      </c>
      <c r="V1" s="67" t="s">
        <v>166</v>
      </c>
      <c r="W1" s="67" t="s">
        <v>170</v>
      </c>
      <c r="X1" s="43" t="s">
        <v>173</v>
      </c>
      <c r="Y1" s="43" t="s">
        <v>174</v>
      </c>
      <c r="Z1" s="43" t="s">
        <v>175</v>
      </c>
      <c r="AA1" s="43" t="s">
        <v>143</v>
      </c>
      <c r="AB1" s="68" t="s">
        <v>176</v>
      </c>
      <c r="AC1" s="33"/>
    </row>
    <row r="2" spans="1:29" x14ac:dyDescent="0.3">
      <c r="A2" s="81" t="s">
        <v>119</v>
      </c>
      <c r="B2" s="29">
        <v>43253</v>
      </c>
      <c r="C2" s="82">
        <v>1056.75</v>
      </c>
      <c r="D2" s="82">
        <v>26.26</v>
      </c>
      <c r="E2" s="83">
        <f>C2/30</f>
        <v>35.225000000000001</v>
      </c>
      <c r="F2" s="83">
        <f>C2*(30/2080)</f>
        <v>15.24158653846154</v>
      </c>
      <c r="G2" s="40">
        <f>F2*D2</f>
        <v>400.24406250000004</v>
      </c>
      <c r="H2" s="84">
        <v>0.24</v>
      </c>
      <c r="I2" s="40">
        <f>G2*H2</f>
        <v>96.058575000000005</v>
      </c>
      <c r="J2" s="82"/>
      <c r="K2" s="82"/>
      <c r="L2" s="82"/>
      <c r="M2" s="82"/>
      <c r="N2" s="82"/>
      <c r="O2" s="82"/>
      <c r="P2" s="82"/>
      <c r="Q2" s="82"/>
      <c r="R2" s="82"/>
      <c r="S2" s="82"/>
      <c r="T2" s="82"/>
      <c r="U2" s="82"/>
      <c r="V2" s="82"/>
      <c r="W2" s="82"/>
      <c r="X2" s="35">
        <f>Z2*2</f>
        <v>800.48812500000008</v>
      </c>
      <c r="Y2" s="35">
        <f>I2+P2</f>
        <v>96.058575000000005</v>
      </c>
      <c r="Z2" s="35">
        <f t="shared" ref="Z2:Z25" si="0">G2+N2+U2</f>
        <v>400.24406250000004</v>
      </c>
      <c r="AA2" s="35">
        <v>417.23</v>
      </c>
      <c r="AB2" s="44">
        <f t="shared" ref="AB2:AB25" si="1">X2+Y2+Z2+AA2</f>
        <v>1714.0207625000003</v>
      </c>
      <c r="AC2" s="33"/>
    </row>
    <row r="3" spans="1:29" x14ac:dyDescent="0.3">
      <c r="A3" s="33" t="s">
        <v>76</v>
      </c>
      <c r="B3" s="29">
        <v>43405</v>
      </c>
      <c r="C3" s="33">
        <v>404</v>
      </c>
      <c r="D3" s="35">
        <v>21.085999999999999</v>
      </c>
      <c r="E3" s="69">
        <f>C3/30</f>
        <v>13.466666666666667</v>
      </c>
      <c r="F3" s="69">
        <f>C3*(30/2080)</f>
        <v>5.8269230769230775</v>
      </c>
      <c r="G3" s="35">
        <f>F3*D3</f>
        <v>122.8665</v>
      </c>
      <c r="H3" s="84">
        <v>0.24</v>
      </c>
      <c r="I3" s="35">
        <f>G3*H3</f>
        <v>29.487960000000001</v>
      </c>
      <c r="J3" s="33">
        <v>828</v>
      </c>
      <c r="K3" s="35">
        <v>22.684444444444445</v>
      </c>
      <c r="L3" s="69">
        <f t="shared" ref="L3:L8" si="2">J3/30</f>
        <v>27.6</v>
      </c>
      <c r="M3" s="33">
        <f>J3*(30/2080)</f>
        <v>11.942307692307693</v>
      </c>
      <c r="N3" s="35">
        <f t="shared" ref="N3:N8" si="3">M3*K3</f>
        <v>270.9046153846154</v>
      </c>
      <c r="O3" s="70">
        <v>0.12</v>
      </c>
      <c r="P3" s="35">
        <f t="shared" ref="P3:P8" si="4">N3*O3</f>
        <v>32.508553846153845</v>
      </c>
      <c r="Q3" s="62"/>
      <c r="R3" s="35"/>
      <c r="S3" s="69"/>
      <c r="T3" s="33"/>
      <c r="U3" s="35"/>
      <c r="V3" s="69"/>
      <c r="W3" s="35"/>
      <c r="X3" s="35">
        <f t="shared" ref="X3:X39" si="5">Z3*2</f>
        <v>787.54223076923086</v>
      </c>
      <c r="Y3" s="35">
        <f>I3+P3</f>
        <v>61.996513846153846</v>
      </c>
      <c r="Z3" s="35">
        <f t="shared" si="0"/>
        <v>393.77111538461543</v>
      </c>
      <c r="AA3" s="35">
        <v>417.23</v>
      </c>
      <c r="AB3" s="44">
        <f t="shared" si="1"/>
        <v>1660.5398600000003</v>
      </c>
    </row>
    <row r="4" spans="1:29" x14ac:dyDescent="0.3">
      <c r="A4" s="33" t="s">
        <v>80</v>
      </c>
      <c r="B4" s="29">
        <v>43490</v>
      </c>
      <c r="C4" s="62"/>
      <c r="D4" s="35"/>
      <c r="E4" s="69"/>
      <c r="F4" s="69"/>
      <c r="G4" s="69"/>
      <c r="H4" s="84"/>
      <c r="I4" s="35"/>
      <c r="J4" s="63">
        <v>1438.5</v>
      </c>
      <c r="K4" s="35">
        <v>20.565000000000001</v>
      </c>
      <c r="L4" s="69">
        <f t="shared" si="2"/>
        <v>47.95</v>
      </c>
      <c r="M4" s="33">
        <f t="shared" ref="M4:M8" si="6">J4*(30/2080)</f>
        <v>20.747596153846153</v>
      </c>
      <c r="N4" s="35">
        <f t="shared" si="3"/>
        <v>426.67431490384615</v>
      </c>
      <c r="O4" s="70">
        <v>0.12</v>
      </c>
      <c r="P4" s="35">
        <f t="shared" si="4"/>
        <v>51.200917788461538</v>
      </c>
      <c r="Q4" s="62"/>
      <c r="R4" s="35"/>
      <c r="S4" s="69"/>
      <c r="T4" s="33"/>
      <c r="U4" s="35"/>
      <c r="V4" s="69"/>
      <c r="W4" s="35"/>
      <c r="X4" s="35">
        <f t="shared" si="5"/>
        <v>853.3486298076923</v>
      </c>
      <c r="Y4" s="35">
        <f t="shared" ref="Y4:Y38" si="7">I4+P4</f>
        <v>51.200917788461538</v>
      </c>
      <c r="Z4" s="35">
        <f t="shared" si="0"/>
        <v>426.67431490384615</v>
      </c>
      <c r="AA4" s="35">
        <v>417.23</v>
      </c>
      <c r="AB4" s="44">
        <f t="shared" si="1"/>
        <v>1748.4538625</v>
      </c>
    </row>
    <row r="5" spans="1:29" x14ac:dyDescent="0.3">
      <c r="A5" s="33" t="s">
        <v>84</v>
      </c>
      <c r="B5" s="29">
        <v>43419</v>
      </c>
      <c r="C5" s="64">
        <v>469.5</v>
      </c>
      <c r="D5" s="35">
        <v>23.884000000000004</v>
      </c>
      <c r="E5" s="69">
        <f>C5/30</f>
        <v>15.65</v>
      </c>
      <c r="F5" s="69">
        <f>C5*(30/2080)</f>
        <v>6.7716346153846159</v>
      </c>
      <c r="G5" s="35">
        <f>F5*D5</f>
        <v>161.7337211538462</v>
      </c>
      <c r="H5" s="84">
        <v>0.24</v>
      </c>
      <c r="I5" s="35">
        <f>G5*H5</f>
        <v>38.816093076923089</v>
      </c>
      <c r="J5" s="64">
        <v>1912.5</v>
      </c>
      <c r="K5" s="35">
        <v>27.017368421052634</v>
      </c>
      <c r="L5" s="69">
        <f>J5/30</f>
        <v>63.75</v>
      </c>
      <c r="M5" s="33">
        <f t="shared" si="6"/>
        <v>27.584134615384617</v>
      </c>
      <c r="N5" s="35">
        <f t="shared" si="3"/>
        <v>745.25072747975719</v>
      </c>
      <c r="O5" s="70">
        <v>0.12</v>
      </c>
      <c r="P5" s="35">
        <f t="shared" si="4"/>
        <v>89.430087297570864</v>
      </c>
      <c r="Q5" s="64">
        <v>672</v>
      </c>
      <c r="R5" s="35">
        <v>21.568571428571431</v>
      </c>
      <c r="S5" s="69">
        <f>Q5/30</f>
        <v>22.4</v>
      </c>
      <c r="T5" s="33">
        <f>Q5*(30/2080)</f>
        <v>9.6923076923076934</v>
      </c>
      <c r="U5" s="35">
        <f>T5*R5</f>
        <v>209.04923076923083</v>
      </c>
      <c r="V5" s="69"/>
      <c r="W5" s="35"/>
      <c r="X5" s="35">
        <f t="shared" si="5"/>
        <v>2232.0673588056684</v>
      </c>
      <c r="Y5" s="35">
        <f t="shared" si="7"/>
        <v>128.24618037449395</v>
      </c>
      <c r="Z5" s="35">
        <f t="shared" si="0"/>
        <v>1116.0336794028342</v>
      </c>
      <c r="AA5" s="35">
        <v>417.23</v>
      </c>
      <c r="AB5" s="44">
        <f t="shared" si="1"/>
        <v>3893.5772185829969</v>
      </c>
    </row>
    <row r="6" spans="1:29" x14ac:dyDescent="0.3">
      <c r="A6" s="33" t="s">
        <v>85</v>
      </c>
      <c r="B6" s="29">
        <v>43623</v>
      </c>
      <c r="C6" s="64"/>
      <c r="D6" s="35"/>
      <c r="E6" s="69"/>
      <c r="F6" s="69"/>
      <c r="G6" s="69"/>
      <c r="H6" s="84"/>
      <c r="I6" s="35"/>
      <c r="J6" s="64">
        <v>827</v>
      </c>
      <c r="K6" s="35">
        <v>31.032499999999999</v>
      </c>
      <c r="L6" s="69">
        <f t="shared" si="2"/>
        <v>27.566666666666666</v>
      </c>
      <c r="M6" s="33">
        <f t="shared" si="6"/>
        <v>11.927884615384617</v>
      </c>
      <c r="N6" s="35">
        <f t="shared" si="3"/>
        <v>370.15207932692311</v>
      </c>
      <c r="O6" s="70">
        <v>0.12</v>
      </c>
      <c r="P6" s="35">
        <f t="shared" si="4"/>
        <v>44.41824951923077</v>
      </c>
      <c r="Q6" s="64"/>
      <c r="R6" s="35"/>
      <c r="S6" s="69"/>
      <c r="T6" s="33"/>
      <c r="U6" s="35"/>
      <c r="V6" s="69"/>
      <c r="W6" s="35"/>
      <c r="X6" s="35">
        <f t="shared" si="5"/>
        <v>740.30415865384623</v>
      </c>
      <c r="Y6" s="35">
        <f t="shared" si="7"/>
        <v>44.41824951923077</v>
      </c>
      <c r="Z6" s="35">
        <f t="shared" si="0"/>
        <v>370.15207932692311</v>
      </c>
      <c r="AA6" s="35">
        <v>417.23</v>
      </c>
      <c r="AB6" s="44">
        <f t="shared" si="1"/>
        <v>1572.1044875000002</v>
      </c>
    </row>
    <row r="7" spans="1:29" x14ac:dyDescent="0.3">
      <c r="A7" s="30" t="s">
        <v>86</v>
      </c>
      <c r="B7" s="29">
        <v>43405</v>
      </c>
      <c r="C7" s="64">
        <v>1878.75</v>
      </c>
      <c r="D7" s="35">
        <v>25.686666666666664</v>
      </c>
      <c r="E7" s="69">
        <f>C7/30</f>
        <v>62.625</v>
      </c>
      <c r="F7" s="69">
        <f>C7*(30/2080)</f>
        <v>27.09735576923077</v>
      </c>
      <c r="G7" s="35">
        <f>F7*D7</f>
        <v>696.04074519230767</v>
      </c>
      <c r="H7" s="84">
        <v>0.24</v>
      </c>
      <c r="I7" s="35">
        <f>G7*H7</f>
        <v>167.04977884615383</v>
      </c>
      <c r="J7" s="64">
        <v>2138</v>
      </c>
      <c r="K7" s="35">
        <v>25.9756</v>
      </c>
      <c r="L7" s="69">
        <f t="shared" si="2"/>
        <v>71.266666666666666</v>
      </c>
      <c r="M7" s="33">
        <f t="shared" si="6"/>
        <v>30.836538461538463</v>
      </c>
      <c r="N7" s="35">
        <f t="shared" si="3"/>
        <v>800.9975884615385</v>
      </c>
      <c r="O7" s="70">
        <v>0.12</v>
      </c>
      <c r="P7" s="35">
        <f t="shared" si="4"/>
        <v>96.119710615384619</v>
      </c>
      <c r="Q7" s="64">
        <v>491.5</v>
      </c>
      <c r="R7" s="35">
        <v>25.02333333333333</v>
      </c>
      <c r="S7" s="69">
        <f>Q7/30</f>
        <v>16.383333333333333</v>
      </c>
      <c r="T7" s="33">
        <f>Q7*(30/2080)</f>
        <v>7.0889423076923084</v>
      </c>
      <c r="U7" s="35">
        <f>T7*R7</f>
        <v>177.38896634615384</v>
      </c>
      <c r="V7" s="69"/>
      <c r="W7" s="35"/>
      <c r="X7" s="35">
        <f t="shared" si="5"/>
        <v>3348.8546000000001</v>
      </c>
      <c r="Y7" s="35">
        <f t="shared" si="7"/>
        <v>263.16948946153843</v>
      </c>
      <c r="Z7" s="35">
        <f t="shared" si="0"/>
        <v>1674.4273000000001</v>
      </c>
      <c r="AA7" s="35">
        <v>417.23</v>
      </c>
      <c r="AB7" s="44">
        <f t="shared" si="1"/>
        <v>5703.6813894615389</v>
      </c>
    </row>
    <row r="8" spans="1:29" x14ac:dyDescent="0.3">
      <c r="A8" s="33" t="s">
        <v>87</v>
      </c>
      <c r="B8" s="29">
        <v>43405</v>
      </c>
      <c r="C8" s="64">
        <v>550.75</v>
      </c>
      <c r="D8" s="35">
        <v>24.734999999999999</v>
      </c>
      <c r="E8" s="69">
        <f>C8/30</f>
        <v>18.358333333333334</v>
      </c>
      <c r="F8" s="69">
        <f>C8*(30/2080)</f>
        <v>7.9435096153846159</v>
      </c>
      <c r="G8" s="35">
        <f>F8*D8</f>
        <v>196.48271033653847</v>
      </c>
      <c r="H8" s="84">
        <v>0.24</v>
      </c>
      <c r="I8" s="35">
        <f>G8*H8</f>
        <v>47.155850480769232</v>
      </c>
      <c r="J8" s="64">
        <v>5</v>
      </c>
      <c r="K8" s="35">
        <v>25.55</v>
      </c>
      <c r="L8" s="69">
        <f t="shared" si="2"/>
        <v>0.16666666666666666</v>
      </c>
      <c r="M8" s="33">
        <f t="shared" si="6"/>
        <v>7.2115384615384623E-2</v>
      </c>
      <c r="N8" s="35">
        <f t="shared" si="3"/>
        <v>1.8425480769230771</v>
      </c>
      <c r="O8" s="70">
        <v>0.12</v>
      </c>
      <c r="P8" s="35">
        <f t="shared" si="4"/>
        <v>0.22110576923076924</v>
      </c>
      <c r="Q8" s="64"/>
      <c r="R8" s="35"/>
      <c r="S8" s="69"/>
      <c r="T8" s="33"/>
      <c r="U8" s="35"/>
      <c r="V8" s="69"/>
      <c r="W8" s="35"/>
      <c r="X8" s="35">
        <f t="shared" si="5"/>
        <v>396.65051682692308</v>
      </c>
      <c r="Y8" s="35">
        <f t="shared" si="7"/>
        <v>47.376956249999999</v>
      </c>
      <c r="Z8" s="35">
        <f t="shared" si="0"/>
        <v>198.32525841346154</v>
      </c>
      <c r="AA8" s="35">
        <v>417.23</v>
      </c>
      <c r="AB8" s="44">
        <f t="shared" si="1"/>
        <v>1059.5827314903845</v>
      </c>
    </row>
    <row r="9" spans="1:29" x14ac:dyDescent="0.3">
      <c r="A9" s="33" t="s">
        <v>90</v>
      </c>
      <c r="B9" s="29">
        <v>43709</v>
      </c>
      <c r="C9" s="64"/>
      <c r="D9" s="35"/>
      <c r="E9" s="69"/>
      <c r="F9" s="69"/>
      <c r="G9" s="35"/>
      <c r="H9" s="84"/>
      <c r="I9" s="35"/>
      <c r="J9" s="64">
        <v>771.5</v>
      </c>
      <c r="K9" s="35">
        <v>21.703749999999999</v>
      </c>
      <c r="L9" s="69">
        <f>J9/30</f>
        <v>25.716666666666665</v>
      </c>
      <c r="M9" s="33">
        <f>J9*(30/2080)</f>
        <v>11.127403846153847</v>
      </c>
      <c r="N9" s="35">
        <f>M9*K9</f>
        <v>241.50639122596155</v>
      </c>
      <c r="O9" s="70">
        <v>0.12</v>
      </c>
      <c r="P9" s="35">
        <f>N9*O9</f>
        <v>28.980766947115384</v>
      </c>
      <c r="Q9" s="64"/>
      <c r="R9" s="35"/>
      <c r="S9" s="69"/>
      <c r="T9" s="33"/>
      <c r="U9" s="35"/>
      <c r="V9" s="69"/>
      <c r="W9" s="35"/>
      <c r="X9" s="35">
        <f t="shared" si="5"/>
        <v>483.0127824519231</v>
      </c>
      <c r="Y9" s="35">
        <f t="shared" si="7"/>
        <v>28.980766947115384</v>
      </c>
      <c r="Z9" s="35">
        <f t="shared" si="0"/>
        <v>241.50639122596155</v>
      </c>
      <c r="AA9" s="35">
        <v>417.23</v>
      </c>
      <c r="AB9" s="44">
        <f t="shared" si="1"/>
        <v>1170.7299406249999</v>
      </c>
    </row>
    <row r="10" spans="1:29" x14ac:dyDescent="0.3">
      <c r="A10" s="33" t="s">
        <v>93</v>
      </c>
      <c r="B10" s="29">
        <v>43617</v>
      </c>
      <c r="C10" s="64"/>
      <c r="D10" s="35"/>
      <c r="E10" s="69"/>
      <c r="F10" s="69"/>
      <c r="G10" s="35"/>
      <c r="H10" s="84"/>
      <c r="I10" s="35"/>
      <c r="J10" s="64">
        <v>1092</v>
      </c>
      <c r="K10" s="35">
        <v>26.259999999999994</v>
      </c>
      <c r="L10" s="69">
        <f>J10/30</f>
        <v>36.4</v>
      </c>
      <c r="M10" s="33">
        <f>J10*(30/2080)</f>
        <v>15.75</v>
      </c>
      <c r="N10" s="35">
        <f>M10*K10</f>
        <v>413.59499999999991</v>
      </c>
      <c r="O10" s="70">
        <v>0.12</v>
      </c>
      <c r="P10" s="35">
        <f>N10*O10</f>
        <v>49.631399999999985</v>
      </c>
      <c r="Q10" s="64"/>
      <c r="R10" s="35"/>
      <c r="S10" s="69"/>
      <c r="T10" s="33"/>
      <c r="U10" s="35"/>
      <c r="V10" s="69"/>
      <c r="W10" s="35"/>
      <c r="X10" s="35">
        <f t="shared" si="5"/>
        <v>827.18999999999983</v>
      </c>
      <c r="Y10" s="35">
        <f t="shared" si="7"/>
        <v>49.631399999999985</v>
      </c>
      <c r="Z10" s="35">
        <f t="shared" si="0"/>
        <v>413.59499999999991</v>
      </c>
      <c r="AA10" s="35">
        <v>417.23</v>
      </c>
      <c r="AB10" s="44">
        <f t="shared" si="1"/>
        <v>1707.6463999999996</v>
      </c>
    </row>
    <row r="11" spans="1:29" x14ac:dyDescent="0.3">
      <c r="A11" s="33" t="s">
        <v>46</v>
      </c>
      <c r="B11" s="29">
        <v>43881</v>
      </c>
      <c r="C11" s="64"/>
      <c r="D11" s="35"/>
      <c r="E11" s="69"/>
      <c r="F11" s="69"/>
      <c r="G11" s="35"/>
      <c r="H11" s="84"/>
      <c r="I11" s="35"/>
      <c r="J11" s="64"/>
      <c r="K11" s="35"/>
      <c r="L11" s="69"/>
      <c r="M11" s="33"/>
      <c r="N11" s="35"/>
      <c r="O11" s="70"/>
      <c r="P11" s="35"/>
      <c r="Q11" s="64">
        <v>515</v>
      </c>
      <c r="R11" s="35">
        <v>40.5075</v>
      </c>
      <c r="S11" s="69">
        <f>Q11/30</f>
        <v>17.166666666666668</v>
      </c>
      <c r="T11" s="33">
        <f>Q11*(30/2080)</f>
        <v>7.4278846153846159</v>
      </c>
      <c r="U11" s="35">
        <f>T11*R11</f>
        <v>300.88503605769233</v>
      </c>
      <c r="V11" s="69"/>
      <c r="W11" s="35"/>
      <c r="X11" s="35">
        <f t="shared" si="5"/>
        <v>601.77007211538466</v>
      </c>
      <c r="Y11" s="35"/>
      <c r="Z11" s="35">
        <f t="shared" si="0"/>
        <v>300.88503605769233</v>
      </c>
      <c r="AA11" s="35">
        <v>417.23</v>
      </c>
      <c r="AB11" s="44">
        <f t="shared" si="1"/>
        <v>1319.885108173077</v>
      </c>
    </row>
    <row r="12" spans="1:29" x14ac:dyDescent="0.3">
      <c r="A12" s="33" t="s">
        <v>48</v>
      </c>
      <c r="B12" s="29">
        <v>43794</v>
      </c>
      <c r="C12" s="64"/>
      <c r="D12" s="35"/>
      <c r="E12" s="69"/>
      <c r="F12" s="69"/>
      <c r="G12" s="35"/>
      <c r="H12" s="84"/>
      <c r="I12" s="35"/>
      <c r="J12" s="64">
        <v>90.5</v>
      </c>
      <c r="K12" s="35">
        <v>23.02</v>
      </c>
      <c r="L12" s="69">
        <f>J12/30</f>
        <v>3.0166666666666666</v>
      </c>
      <c r="M12" s="33">
        <f>J12*(30/2080)</f>
        <v>1.3052884615384617</v>
      </c>
      <c r="N12" s="35">
        <f>M12*K12</f>
        <v>30.047740384615388</v>
      </c>
      <c r="O12" s="70">
        <v>0.12</v>
      </c>
      <c r="P12" s="35">
        <f>N12*O12</f>
        <v>3.6057288461538466</v>
      </c>
      <c r="Q12" s="64">
        <v>1054</v>
      </c>
      <c r="R12" s="35">
        <v>26.840769230769226</v>
      </c>
      <c r="S12" s="69">
        <f>Q12/30</f>
        <v>35.133333333333333</v>
      </c>
      <c r="T12" s="33">
        <f>Q12*(30/2080)</f>
        <v>15.201923076923078</v>
      </c>
      <c r="U12" s="35">
        <f>T12*R12</f>
        <v>408.03130917159757</v>
      </c>
      <c r="V12" s="69"/>
      <c r="W12" s="35"/>
      <c r="X12" s="35">
        <f t="shared" si="5"/>
        <v>876.15809911242593</v>
      </c>
      <c r="Y12" s="35">
        <f t="shared" si="7"/>
        <v>3.6057288461538466</v>
      </c>
      <c r="Z12" s="35">
        <f t="shared" si="0"/>
        <v>438.07904955621296</v>
      </c>
      <c r="AA12" s="35">
        <v>417.23</v>
      </c>
      <c r="AB12" s="44">
        <f t="shared" si="1"/>
        <v>1735.0728775147927</v>
      </c>
    </row>
    <row r="13" spans="1:29" x14ac:dyDescent="0.3">
      <c r="A13" s="33" t="s">
        <v>94</v>
      </c>
      <c r="B13" s="29">
        <v>43405</v>
      </c>
      <c r="C13" s="64"/>
      <c r="D13" s="35"/>
      <c r="E13" s="69"/>
      <c r="F13" s="69"/>
      <c r="G13" s="35"/>
      <c r="H13" s="84"/>
      <c r="I13" s="35"/>
      <c r="J13" s="64">
        <v>1698.5</v>
      </c>
      <c r="K13" s="35">
        <v>25.894285714285711</v>
      </c>
      <c r="L13" s="69">
        <f>J13/30</f>
        <v>56.616666666666667</v>
      </c>
      <c r="M13" s="33">
        <f>J13*(30/2080)</f>
        <v>24.497596153846157</v>
      </c>
      <c r="N13" s="35">
        <f>M13*K13</f>
        <v>634.34775412087913</v>
      </c>
      <c r="O13" s="70">
        <v>0.12</v>
      </c>
      <c r="P13" s="35">
        <f>N13*O13</f>
        <v>76.121730494505499</v>
      </c>
      <c r="Q13" s="64">
        <v>1363.5</v>
      </c>
      <c r="R13" s="35">
        <v>26.509230769230768</v>
      </c>
      <c r="S13" s="69">
        <f>Q13/30</f>
        <v>45.45</v>
      </c>
      <c r="T13" s="33">
        <f>Q13*(30/2080)</f>
        <v>19.665865384615387</v>
      </c>
      <c r="U13" s="35">
        <f>T13*R13</f>
        <v>521.32696375739647</v>
      </c>
      <c r="V13" s="69"/>
      <c r="W13" s="35"/>
      <c r="X13" s="35">
        <f t="shared" si="5"/>
        <v>2311.3494357565514</v>
      </c>
      <c r="Y13" s="35">
        <f t="shared" si="7"/>
        <v>76.121730494505499</v>
      </c>
      <c r="Z13" s="35">
        <f t="shared" si="0"/>
        <v>1155.6747178782757</v>
      </c>
      <c r="AA13" s="35">
        <v>417.23</v>
      </c>
      <c r="AB13" s="44">
        <f t="shared" si="1"/>
        <v>3960.3758841293325</v>
      </c>
    </row>
    <row r="14" spans="1:29" x14ac:dyDescent="0.3">
      <c r="A14" s="33" t="s">
        <v>95</v>
      </c>
      <c r="B14" s="29">
        <v>43419</v>
      </c>
      <c r="C14" s="64">
        <v>136</v>
      </c>
      <c r="D14" s="35">
        <v>20.734999999999999</v>
      </c>
      <c r="E14" s="69">
        <f>C14/30</f>
        <v>4.5333333333333332</v>
      </c>
      <c r="F14" s="69">
        <f>C14*(30/2080)</f>
        <v>1.9615384615384617</v>
      </c>
      <c r="G14" s="35">
        <f>F14*D14</f>
        <v>40.672499999999999</v>
      </c>
      <c r="H14" s="84">
        <v>0.24</v>
      </c>
      <c r="I14" s="35">
        <f>G14*H14</f>
        <v>9.7614000000000001</v>
      </c>
      <c r="J14" s="64">
        <v>2396.5</v>
      </c>
      <c r="K14" s="35">
        <v>23.833999999999993</v>
      </c>
      <c r="L14" s="69">
        <f>J14/30</f>
        <v>79.88333333333334</v>
      </c>
      <c r="M14" s="33">
        <f>J14*(30/2080)</f>
        <v>34.564903846153847</v>
      </c>
      <c r="N14" s="35">
        <f>M14*K14</f>
        <v>823.81991826923047</v>
      </c>
      <c r="O14" s="70">
        <v>0.12</v>
      </c>
      <c r="P14" s="35">
        <f>N14*O14</f>
        <v>98.858390192307652</v>
      </c>
      <c r="Q14" s="64">
        <v>675.5</v>
      </c>
      <c r="R14" s="35">
        <v>25.271428571428572</v>
      </c>
      <c r="S14" s="69">
        <f>Q14/30</f>
        <v>22.516666666666666</v>
      </c>
      <c r="T14" s="33">
        <f>Q14*(30/2080)</f>
        <v>9.7427884615384617</v>
      </c>
      <c r="U14" s="35">
        <f>T14*R14</f>
        <v>246.2141826923077</v>
      </c>
      <c r="V14" s="69"/>
      <c r="W14" s="35"/>
      <c r="X14" s="35">
        <f t="shared" si="5"/>
        <v>2221.4132019230765</v>
      </c>
      <c r="Y14" s="35">
        <f t="shared" si="7"/>
        <v>108.61979019230765</v>
      </c>
      <c r="Z14" s="35">
        <f t="shared" si="0"/>
        <v>1110.7066009615382</v>
      </c>
      <c r="AA14" s="35">
        <v>417.23</v>
      </c>
      <c r="AB14" s="44">
        <f t="shared" si="1"/>
        <v>3857.9695930769226</v>
      </c>
    </row>
    <row r="15" spans="1:29" x14ac:dyDescent="0.3">
      <c r="A15" s="33" t="s">
        <v>96</v>
      </c>
      <c r="B15" s="29">
        <v>43419</v>
      </c>
      <c r="C15" s="64">
        <v>135</v>
      </c>
      <c r="D15" s="35">
        <v>20.880000000000003</v>
      </c>
      <c r="E15" s="69">
        <f>C15/30</f>
        <v>4.5</v>
      </c>
      <c r="F15" s="69">
        <f>C15*(30/2080)</f>
        <v>1.9471153846153848</v>
      </c>
      <c r="G15" s="35">
        <f>F15*D15</f>
        <v>40.655769230769238</v>
      </c>
      <c r="H15" s="84">
        <v>0.24</v>
      </c>
      <c r="I15" s="35">
        <f>G15*H15</f>
        <v>9.7573846153846162</v>
      </c>
      <c r="J15" s="64">
        <v>1558</v>
      </c>
      <c r="K15" s="35">
        <v>25.991111111111113</v>
      </c>
      <c r="L15" s="69">
        <f>J15/30</f>
        <v>51.93333333333333</v>
      </c>
      <c r="M15" s="33">
        <f>J15*(30/2080)</f>
        <v>22.471153846153847</v>
      </c>
      <c r="N15" s="35">
        <f>M15*K15</f>
        <v>584.05025641025645</v>
      </c>
      <c r="O15" s="70">
        <v>0.12</v>
      </c>
      <c r="P15" s="35">
        <f>N15*O15</f>
        <v>70.086030769230774</v>
      </c>
      <c r="Q15" s="64"/>
      <c r="R15" s="35"/>
      <c r="S15" s="69"/>
      <c r="T15" s="33"/>
      <c r="U15" s="35"/>
      <c r="V15" s="69"/>
      <c r="W15" s="35"/>
      <c r="X15" s="35">
        <f t="shared" si="5"/>
        <v>1249.4120512820514</v>
      </c>
      <c r="Y15" s="35">
        <f t="shared" si="7"/>
        <v>79.843415384615383</v>
      </c>
      <c r="Z15" s="35">
        <f t="shared" si="0"/>
        <v>624.70602564102569</v>
      </c>
      <c r="AA15" s="35">
        <v>417.23</v>
      </c>
      <c r="AB15" s="44">
        <f t="shared" si="1"/>
        <v>2371.1914923076924</v>
      </c>
    </row>
    <row r="16" spans="1:29" x14ac:dyDescent="0.3">
      <c r="A16" s="33" t="s">
        <v>97</v>
      </c>
      <c r="B16" s="29">
        <v>43405</v>
      </c>
      <c r="C16" s="64">
        <v>283</v>
      </c>
      <c r="D16" s="35">
        <v>21.64</v>
      </c>
      <c r="E16" s="69">
        <f>C16/30</f>
        <v>9.4333333333333336</v>
      </c>
      <c r="F16" s="69">
        <f>C16*(30/2080)</f>
        <v>4.0817307692307692</v>
      </c>
      <c r="G16" s="35">
        <f>F16*D16</f>
        <v>88.328653846153841</v>
      </c>
      <c r="H16" s="84">
        <v>0.24</v>
      </c>
      <c r="I16" s="35">
        <f>G16*H16</f>
        <v>21.19887692307692</v>
      </c>
      <c r="J16" s="64">
        <v>1308.5</v>
      </c>
      <c r="K16" s="35">
        <v>31.970588235294116</v>
      </c>
      <c r="L16" s="69">
        <f>J16/30</f>
        <v>43.616666666666667</v>
      </c>
      <c r="M16" s="33">
        <f>J16*(30/2080)</f>
        <v>18.872596153846153</v>
      </c>
      <c r="N16" s="35">
        <f>M16*K16</f>
        <v>603.36800056561083</v>
      </c>
      <c r="O16" s="70">
        <v>0.12</v>
      </c>
      <c r="P16" s="35">
        <f>N16*O16</f>
        <v>72.404160067873292</v>
      </c>
      <c r="Q16" s="64"/>
      <c r="R16" s="35"/>
      <c r="S16" s="69"/>
      <c r="T16" s="33"/>
      <c r="U16" s="35"/>
      <c r="V16" s="69"/>
      <c r="W16" s="35"/>
      <c r="X16" s="35">
        <f t="shared" si="5"/>
        <v>1383.3933088235294</v>
      </c>
      <c r="Y16" s="35">
        <f t="shared" si="7"/>
        <v>93.603036990950216</v>
      </c>
      <c r="Z16" s="35">
        <f t="shared" si="0"/>
        <v>691.69665441176471</v>
      </c>
      <c r="AA16" s="35">
        <v>417.23</v>
      </c>
      <c r="AB16" s="44">
        <f t="shared" si="1"/>
        <v>2585.9230002262443</v>
      </c>
    </row>
    <row r="17" spans="1:28" x14ac:dyDescent="0.3">
      <c r="A17" s="33" t="s">
        <v>98</v>
      </c>
      <c r="B17" s="29">
        <v>43869</v>
      </c>
      <c r="C17" s="64"/>
      <c r="D17" s="35"/>
      <c r="E17" s="69"/>
      <c r="F17" s="69"/>
      <c r="G17" s="35"/>
      <c r="H17" s="84"/>
      <c r="I17" s="35"/>
      <c r="J17" s="64"/>
      <c r="K17" s="35"/>
      <c r="L17" s="69"/>
      <c r="M17" s="33"/>
      <c r="N17" s="35"/>
      <c r="O17" s="70"/>
      <c r="P17" s="35"/>
      <c r="Q17" s="64">
        <v>668</v>
      </c>
      <c r="R17" s="35">
        <v>26.259999999999998</v>
      </c>
      <c r="S17" s="69">
        <f>Q17/30</f>
        <v>22.266666666666666</v>
      </c>
      <c r="T17" s="33">
        <f>Q17*(30/2080)</f>
        <v>9.634615384615385</v>
      </c>
      <c r="U17" s="35">
        <f>T17*R17</f>
        <v>253.005</v>
      </c>
      <c r="V17" s="69"/>
      <c r="W17" s="35"/>
      <c r="X17" s="35">
        <f t="shared" si="5"/>
        <v>506.01</v>
      </c>
      <c r="Y17" s="35"/>
      <c r="Z17" s="35">
        <f t="shared" si="0"/>
        <v>253.005</v>
      </c>
      <c r="AA17" s="35">
        <v>417.23</v>
      </c>
      <c r="AB17" s="44">
        <f t="shared" si="1"/>
        <v>1176.2449999999999</v>
      </c>
    </row>
    <row r="18" spans="1:28" x14ac:dyDescent="0.3">
      <c r="A18" s="33" t="s">
        <v>99</v>
      </c>
      <c r="B18" s="29">
        <v>43723</v>
      </c>
      <c r="C18" s="64"/>
      <c r="D18" s="35"/>
      <c r="E18" s="69"/>
      <c r="F18" s="69"/>
      <c r="G18" s="35"/>
      <c r="H18" s="84"/>
      <c r="I18" s="35"/>
      <c r="J18" s="64">
        <v>603.5</v>
      </c>
      <c r="K18" s="35">
        <v>21.758571428571429</v>
      </c>
      <c r="L18" s="69">
        <f>J18/30</f>
        <v>20.116666666666667</v>
      </c>
      <c r="M18" s="33">
        <f>J18*(30/2080)</f>
        <v>8.7043269230769234</v>
      </c>
      <c r="N18" s="35">
        <f>M18*K18</f>
        <v>189.39371909340659</v>
      </c>
      <c r="O18" s="70">
        <v>0.12</v>
      </c>
      <c r="P18" s="35">
        <f>N18*O18</f>
        <v>22.72724629120879</v>
      </c>
      <c r="Q18" s="64">
        <v>238</v>
      </c>
      <c r="R18" s="35">
        <v>19.746666666666666</v>
      </c>
      <c r="S18" s="69">
        <f>Q18/30</f>
        <v>7.9333333333333336</v>
      </c>
      <c r="T18" s="33">
        <f>Q18*(30/2080)</f>
        <v>3.4326923076923079</v>
      </c>
      <c r="U18" s="35">
        <f>T18*R18</f>
        <v>67.784230769230774</v>
      </c>
      <c r="V18" s="69"/>
      <c r="W18" s="35"/>
      <c r="X18" s="35">
        <f t="shared" si="5"/>
        <v>514.35589972527475</v>
      </c>
      <c r="Y18" s="35">
        <f t="shared" si="7"/>
        <v>22.72724629120879</v>
      </c>
      <c r="Z18" s="35">
        <f t="shared" si="0"/>
        <v>257.17794986263738</v>
      </c>
      <c r="AA18" s="35">
        <v>417.23</v>
      </c>
      <c r="AB18" s="44">
        <f t="shared" si="1"/>
        <v>1211.4910958791208</v>
      </c>
    </row>
    <row r="19" spans="1:28" x14ac:dyDescent="0.3">
      <c r="A19" s="33" t="s">
        <v>50</v>
      </c>
      <c r="B19" s="29">
        <v>43490</v>
      </c>
      <c r="C19" s="64"/>
      <c r="D19" s="35"/>
      <c r="E19" s="69"/>
      <c r="F19" s="69"/>
      <c r="G19" s="35"/>
      <c r="H19" s="84"/>
      <c r="I19" s="35"/>
      <c r="J19" s="64">
        <v>2271</v>
      </c>
      <c r="K19" s="35">
        <v>23.46521739130435</v>
      </c>
      <c r="L19" s="69">
        <f>J19/30</f>
        <v>75.7</v>
      </c>
      <c r="M19" s="33">
        <f>J19*(30/2080)</f>
        <v>32.754807692307693</v>
      </c>
      <c r="N19" s="35">
        <f>M19*K19</f>
        <v>768.59868311036803</v>
      </c>
      <c r="O19" s="70">
        <v>0.12</v>
      </c>
      <c r="P19" s="35">
        <f>N19*O19</f>
        <v>92.231841973244158</v>
      </c>
      <c r="Q19" s="64">
        <v>1020.5</v>
      </c>
      <c r="R19" s="35">
        <v>26.803333333333338</v>
      </c>
      <c r="S19" s="69">
        <f>Q19/30</f>
        <v>34.016666666666666</v>
      </c>
      <c r="T19" s="33">
        <f>Q19*(30/2080)</f>
        <v>14.71875</v>
      </c>
      <c r="U19" s="35">
        <f>T19*R19</f>
        <v>394.51156250000008</v>
      </c>
      <c r="V19" s="69"/>
      <c r="W19" s="35"/>
      <c r="X19" s="35">
        <f t="shared" si="5"/>
        <v>2326.2204912207362</v>
      </c>
      <c r="Y19" s="35">
        <f t="shared" si="7"/>
        <v>92.231841973244158</v>
      </c>
      <c r="Z19" s="35">
        <f t="shared" si="0"/>
        <v>1163.1102456103681</v>
      </c>
      <c r="AA19" s="35">
        <v>417.23</v>
      </c>
      <c r="AB19" s="44">
        <f t="shared" si="1"/>
        <v>3998.7925788043485</v>
      </c>
    </row>
    <row r="20" spans="1:28" x14ac:dyDescent="0.3">
      <c r="A20" s="33" t="s">
        <v>51</v>
      </c>
      <c r="B20" s="29">
        <v>43709</v>
      </c>
      <c r="C20" s="64"/>
      <c r="D20" s="35"/>
      <c r="E20" s="69"/>
      <c r="F20" s="69"/>
      <c r="G20" s="35"/>
      <c r="H20" s="84"/>
      <c r="I20" s="35"/>
      <c r="J20" s="64">
        <v>860</v>
      </c>
      <c r="K20" s="35">
        <v>22.047142857142855</v>
      </c>
      <c r="L20" s="69">
        <f>J20/30</f>
        <v>28.666666666666668</v>
      </c>
      <c r="M20" s="33">
        <f>J20*(30/2080)</f>
        <v>12.403846153846155</v>
      </c>
      <c r="N20" s="35">
        <f>M20*K20</f>
        <v>273.46936813186812</v>
      </c>
      <c r="O20" s="70">
        <v>0.12</v>
      </c>
      <c r="P20" s="35">
        <f>N20*O20</f>
        <v>32.816324175824171</v>
      </c>
      <c r="Q20" s="64">
        <v>899</v>
      </c>
      <c r="R20" s="35">
        <v>22.736666666666665</v>
      </c>
      <c r="S20" s="69">
        <f>Q20/30</f>
        <v>29.966666666666665</v>
      </c>
      <c r="T20" s="33">
        <f>Q20*(30/2080)</f>
        <v>12.966346153846155</v>
      </c>
      <c r="U20" s="35">
        <f>T20*R20</f>
        <v>294.81149038461541</v>
      </c>
      <c r="V20" s="69"/>
      <c r="W20" s="35"/>
      <c r="X20" s="35">
        <f t="shared" si="5"/>
        <v>1136.561717032967</v>
      </c>
      <c r="Y20" s="35">
        <f t="shared" si="7"/>
        <v>32.816324175824171</v>
      </c>
      <c r="Z20" s="35">
        <f t="shared" si="0"/>
        <v>568.28085851648348</v>
      </c>
      <c r="AA20" s="35">
        <v>417.23</v>
      </c>
      <c r="AB20" s="44">
        <f t="shared" si="1"/>
        <v>2154.8888997252743</v>
      </c>
    </row>
    <row r="21" spans="1:28" x14ac:dyDescent="0.3">
      <c r="A21" s="33" t="s">
        <v>52</v>
      </c>
      <c r="B21" s="29">
        <v>43872</v>
      </c>
      <c r="C21" s="64"/>
      <c r="D21" s="35"/>
      <c r="E21" s="69"/>
      <c r="F21" s="69"/>
      <c r="G21" s="35"/>
      <c r="H21" s="84"/>
      <c r="I21" s="35"/>
      <c r="J21" s="64"/>
      <c r="K21" s="35"/>
      <c r="L21" s="69"/>
      <c r="M21" s="33"/>
      <c r="N21" s="35"/>
      <c r="O21" s="70"/>
      <c r="P21" s="35"/>
      <c r="Q21" s="64">
        <v>641.5</v>
      </c>
      <c r="R21" s="35">
        <v>21.947499999999994</v>
      </c>
      <c r="S21" s="69">
        <f>Q21/30</f>
        <v>21.383333333333333</v>
      </c>
      <c r="T21" s="33">
        <f>Q21*(30/2080)</f>
        <v>9.2524038461538467</v>
      </c>
      <c r="U21" s="35">
        <f>T21*R21</f>
        <v>203.06713341346151</v>
      </c>
      <c r="V21" s="69"/>
      <c r="W21" s="35"/>
      <c r="X21" s="35">
        <f t="shared" si="5"/>
        <v>406.13426682692301</v>
      </c>
      <c r="Y21" s="35"/>
      <c r="Z21" s="35">
        <f t="shared" si="0"/>
        <v>203.06713341346151</v>
      </c>
      <c r="AA21" s="35">
        <v>417.23</v>
      </c>
      <c r="AB21" s="44">
        <f t="shared" si="1"/>
        <v>1026.4314002403844</v>
      </c>
    </row>
    <row r="22" spans="1:28" x14ac:dyDescent="0.3">
      <c r="A22" s="33" t="s">
        <v>101</v>
      </c>
      <c r="B22" s="29">
        <v>43490</v>
      </c>
      <c r="C22" s="64"/>
      <c r="D22" s="35"/>
      <c r="E22" s="69"/>
      <c r="F22" s="69"/>
      <c r="G22" s="35"/>
      <c r="H22" s="84"/>
      <c r="I22" s="35"/>
      <c r="J22" s="64">
        <v>2055.5</v>
      </c>
      <c r="K22" s="35">
        <v>19.454999999999998</v>
      </c>
      <c r="L22" s="69">
        <f>J22/30</f>
        <v>68.516666666666666</v>
      </c>
      <c r="M22" s="33">
        <f>J22*(30/2080)</f>
        <v>29.646634615384617</v>
      </c>
      <c r="N22" s="35">
        <f>M22*K22</f>
        <v>576.7752764423077</v>
      </c>
      <c r="O22" s="70">
        <v>0.12</v>
      </c>
      <c r="P22" s="35">
        <f>N22*O22</f>
        <v>69.213033173076923</v>
      </c>
      <c r="Q22" s="64"/>
      <c r="R22" s="35"/>
      <c r="S22" s="69"/>
      <c r="T22" s="33"/>
      <c r="U22" s="35"/>
      <c r="V22" s="69"/>
      <c r="W22" s="35"/>
      <c r="X22" s="35">
        <f t="shared" si="5"/>
        <v>1153.5505528846154</v>
      </c>
      <c r="Y22" s="35">
        <f t="shared" si="7"/>
        <v>69.213033173076923</v>
      </c>
      <c r="Z22" s="35">
        <f t="shared" si="0"/>
        <v>576.7752764423077</v>
      </c>
      <c r="AA22" s="35">
        <v>417.23</v>
      </c>
      <c r="AB22" s="44">
        <f t="shared" si="1"/>
        <v>2216.7688625000001</v>
      </c>
    </row>
    <row r="23" spans="1:28" x14ac:dyDescent="0.3">
      <c r="A23" s="33" t="s">
        <v>104</v>
      </c>
      <c r="B23" s="29">
        <v>43773</v>
      </c>
      <c r="C23" s="64"/>
      <c r="D23" s="35"/>
      <c r="E23" s="69"/>
      <c r="F23" s="69"/>
      <c r="G23" s="35"/>
      <c r="H23" s="84"/>
      <c r="I23" s="35"/>
      <c r="J23" s="64">
        <v>327.5</v>
      </c>
      <c r="K23" s="35">
        <v>20.433333333333334</v>
      </c>
      <c r="L23" s="69">
        <f>J23/30</f>
        <v>10.916666666666666</v>
      </c>
      <c r="M23" s="33">
        <f>J23*(30/2080)</f>
        <v>4.7235576923076925</v>
      </c>
      <c r="N23" s="35">
        <f>M23*K23</f>
        <v>96.518028846153854</v>
      </c>
      <c r="O23" s="70">
        <v>0.12</v>
      </c>
      <c r="P23" s="35">
        <f>N23*O23</f>
        <v>11.582163461538462</v>
      </c>
      <c r="Q23" s="64">
        <v>408</v>
      </c>
      <c r="R23" s="35">
        <v>20.436666666666667</v>
      </c>
      <c r="S23" s="69">
        <f>Q23/30</f>
        <v>13.6</v>
      </c>
      <c r="T23" s="33">
        <f>Q23*(30/2080)</f>
        <v>5.884615384615385</v>
      </c>
      <c r="U23" s="35">
        <f>T23*R23</f>
        <v>120.2619230769231</v>
      </c>
      <c r="V23" s="69"/>
      <c r="W23" s="35"/>
      <c r="X23" s="35">
        <f t="shared" si="5"/>
        <v>433.55990384615393</v>
      </c>
      <c r="Y23" s="35">
        <f t="shared" si="7"/>
        <v>11.582163461538462</v>
      </c>
      <c r="Z23" s="35">
        <f t="shared" si="0"/>
        <v>216.77995192307696</v>
      </c>
      <c r="AA23" s="35">
        <v>417.23</v>
      </c>
      <c r="AB23" s="44">
        <f t="shared" si="1"/>
        <v>1079.1520192307694</v>
      </c>
    </row>
    <row r="24" spans="1:28" x14ac:dyDescent="0.3">
      <c r="A24" s="33" t="s">
        <v>53</v>
      </c>
      <c r="B24" s="29">
        <v>43869</v>
      </c>
      <c r="C24" s="64"/>
      <c r="D24" s="35"/>
      <c r="E24" s="69"/>
      <c r="F24" s="69"/>
      <c r="G24" s="35"/>
      <c r="H24" s="84"/>
      <c r="I24" s="35"/>
      <c r="J24" s="64"/>
      <c r="K24" s="35"/>
      <c r="L24" s="69"/>
      <c r="M24" s="33"/>
      <c r="N24" s="35"/>
      <c r="O24" s="70"/>
      <c r="P24" s="35"/>
      <c r="Q24" s="64">
        <v>724.5</v>
      </c>
      <c r="R24" s="35">
        <v>21.759999999999998</v>
      </c>
      <c r="S24" s="69">
        <f>Q24/30</f>
        <v>24.15</v>
      </c>
      <c r="T24" s="33">
        <f>Q24*(30/2080)</f>
        <v>10.449519230769232</v>
      </c>
      <c r="U24" s="35">
        <f>T24*R24</f>
        <v>227.38153846153847</v>
      </c>
      <c r="V24" s="69"/>
      <c r="W24" s="35"/>
      <c r="X24" s="35">
        <f t="shared" si="5"/>
        <v>454.76307692307694</v>
      </c>
      <c r="Y24" s="35"/>
      <c r="Z24" s="35">
        <f t="shared" si="0"/>
        <v>227.38153846153847</v>
      </c>
      <c r="AA24" s="35">
        <v>417.23</v>
      </c>
      <c r="AB24" s="44">
        <f t="shared" si="1"/>
        <v>1099.3746153846155</v>
      </c>
    </row>
    <row r="25" spans="1:28" x14ac:dyDescent="0.3">
      <c r="A25" s="33" t="s">
        <v>105</v>
      </c>
      <c r="B25" s="29">
        <v>43497</v>
      </c>
      <c r="C25" s="64">
        <v>259.5</v>
      </c>
      <c r="D25" s="35">
        <v>33.200000000000003</v>
      </c>
      <c r="E25" s="69">
        <f>C25/30</f>
        <v>8.65</v>
      </c>
      <c r="F25" s="69">
        <f>C25*(30/2080)</f>
        <v>3.7427884615384617</v>
      </c>
      <c r="G25" s="35">
        <f>F25*D25</f>
        <v>124.26057692307694</v>
      </c>
      <c r="H25" s="84">
        <v>0.24</v>
      </c>
      <c r="I25" s="35">
        <f>G25*H25</f>
        <v>29.822538461538464</v>
      </c>
      <c r="J25" s="64">
        <v>1593.5</v>
      </c>
      <c r="K25" s="35">
        <v>33.200624999999995</v>
      </c>
      <c r="L25" s="69">
        <f t="shared" ref="L25:L28" si="8">J25/30</f>
        <v>53.116666666666667</v>
      </c>
      <c r="M25" s="33">
        <f t="shared" ref="M25:M28" si="9">J25*(30/2080)</f>
        <v>22.983173076923077</v>
      </c>
      <c r="N25" s="35">
        <f t="shared" ref="N25:N28" si="10">M25*K25</f>
        <v>763.05571063701916</v>
      </c>
      <c r="O25" s="70">
        <v>0.12</v>
      </c>
      <c r="P25" s="35">
        <f t="shared" ref="P25:P28" si="11">N25*O25</f>
        <v>91.5666852764423</v>
      </c>
      <c r="Q25" s="64"/>
      <c r="R25" s="35"/>
      <c r="S25" s="69"/>
      <c r="T25" s="33"/>
      <c r="U25" s="35"/>
      <c r="V25" s="69"/>
      <c r="W25" s="35"/>
      <c r="X25" s="35">
        <f t="shared" si="5"/>
        <v>1774.6325751201921</v>
      </c>
      <c r="Y25" s="35">
        <f t="shared" si="7"/>
        <v>121.38922373798076</v>
      </c>
      <c r="Z25" s="35">
        <f t="shared" si="0"/>
        <v>887.31628756009604</v>
      </c>
      <c r="AA25" s="35">
        <v>417.23</v>
      </c>
      <c r="AB25" s="44">
        <f t="shared" si="1"/>
        <v>3200.5680864182691</v>
      </c>
    </row>
    <row r="26" spans="1:28" x14ac:dyDescent="0.3">
      <c r="A26" s="33" t="s">
        <v>54</v>
      </c>
      <c r="B26" s="29">
        <v>43717</v>
      </c>
      <c r="C26" s="64"/>
      <c r="D26" s="35"/>
      <c r="E26" s="69"/>
      <c r="F26" s="69"/>
      <c r="G26" s="35"/>
      <c r="H26" s="84"/>
      <c r="I26" s="35"/>
      <c r="J26" s="64">
        <v>696</v>
      </c>
      <c r="K26" s="35">
        <v>21.372857142857146</v>
      </c>
      <c r="L26" s="69">
        <f t="shared" si="8"/>
        <v>23.2</v>
      </c>
      <c r="M26" s="33">
        <f t="shared" si="9"/>
        <v>10.038461538461538</v>
      </c>
      <c r="N26" s="35">
        <f t="shared" si="10"/>
        <v>214.55060439560444</v>
      </c>
      <c r="O26" s="70">
        <v>0.12</v>
      </c>
      <c r="P26" s="35">
        <f t="shared" si="11"/>
        <v>25.746072527472531</v>
      </c>
      <c r="Q26" s="64">
        <v>352</v>
      </c>
      <c r="R26" s="35">
        <v>25.987499999999997</v>
      </c>
      <c r="S26" s="69">
        <f>Q26/30</f>
        <v>11.733333333333333</v>
      </c>
      <c r="T26" s="33">
        <f>Q26*(30/2080)</f>
        <v>5.0769230769230775</v>
      </c>
      <c r="U26" s="35">
        <f>T26*R26</f>
        <v>131.93653846153848</v>
      </c>
      <c r="V26" s="69"/>
      <c r="W26" s="35"/>
      <c r="X26" s="35">
        <f t="shared" si="5"/>
        <v>692.97428571428577</v>
      </c>
      <c r="Y26" s="35">
        <f t="shared" si="7"/>
        <v>25.746072527472531</v>
      </c>
      <c r="Z26" s="35">
        <f t="shared" ref="Z26:Z39" si="12">G26+N26+U26</f>
        <v>346.48714285714289</v>
      </c>
      <c r="AA26" s="35">
        <v>417.23</v>
      </c>
      <c r="AB26" s="44">
        <f t="shared" ref="AB26:AB39" si="13">X26+Y26+Z26+AA26</f>
        <v>1482.4375010989011</v>
      </c>
    </row>
    <row r="27" spans="1:28" x14ac:dyDescent="0.3">
      <c r="A27" s="33" t="s">
        <v>108</v>
      </c>
      <c r="B27" s="29">
        <v>43783</v>
      </c>
      <c r="C27" s="64"/>
      <c r="D27" s="35"/>
      <c r="E27" s="69"/>
      <c r="F27" s="69"/>
      <c r="G27" s="35"/>
      <c r="H27" s="84"/>
      <c r="I27" s="35"/>
      <c r="J27" s="64">
        <v>435</v>
      </c>
      <c r="K27" s="35">
        <v>20.270000000000003</v>
      </c>
      <c r="L27" s="69">
        <f t="shared" si="8"/>
        <v>14.5</v>
      </c>
      <c r="M27" s="33">
        <f t="shared" si="9"/>
        <v>6.2740384615384617</v>
      </c>
      <c r="N27" s="35">
        <f t="shared" si="10"/>
        <v>127.17475961538464</v>
      </c>
      <c r="O27" s="70">
        <v>0.12</v>
      </c>
      <c r="P27" s="35">
        <f t="shared" si="11"/>
        <v>15.260971153846157</v>
      </c>
      <c r="Q27" s="64">
        <v>360</v>
      </c>
      <c r="R27" s="35">
        <v>19.217500000000001</v>
      </c>
      <c r="S27" s="69">
        <f>Q27/30</f>
        <v>12</v>
      </c>
      <c r="T27" s="33">
        <f>Q27*(30/2080)</f>
        <v>5.1923076923076925</v>
      </c>
      <c r="U27" s="35">
        <f>T27*R27</f>
        <v>99.783173076923092</v>
      </c>
      <c r="V27" s="69"/>
      <c r="W27" s="35"/>
      <c r="X27" s="35">
        <f t="shared" si="5"/>
        <v>453.91586538461547</v>
      </c>
      <c r="Y27" s="35">
        <f t="shared" si="7"/>
        <v>15.260971153846157</v>
      </c>
      <c r="Z27" s="35">
        <f t="shared" si="12"/>
        <v>226.95793269230774</v>
      </c>
      <c r="AA27" s="35">
        <v>417.23</v>
      </c>
      <c r="AB27" s="44">
        <f t="shared" si="13"/>
        <v>1113.3647692307695</v>
      </c>
    </row>
    <row r="28" spans="1:28" x14ac:dyDescent="0.3">
      <c r="A28" s="33" t="s">
        <v>55</v>
      </c>
      <c r="B28" s="29">
        <v>43419</v>
      </c>
      <c r="C28" s="64">
        <v>135</v>
      </c>
      <c r="D28" s="35">
        <v>29.115000000000002</v>
      </c>
      <c r="E28" s="69">
        <f>C28/30</f>
        <v>4.5</v>
      </c>
      <c r="F28" s="69">
        <f>C28*(30/2080)</f>
        <v>1.9471153846153848</v>
      </c>
      <c r="G28" s="35">
        <f>F28*D28</f>
        <v>56.690264423076933</v>
      </c>
      <c r="H28" s="84">
        <v>0.24</v>
      </c>
      <c r="I28" s="35">
        <f>G28*H28</f>
        <v>13.605663461538464</v>
      </c>
      <c r="J28" s="64">
        <v>1723.5</v>
      </c>
      <c r="K28" s="35">
        <v>34.188499999999998</v>
      </c>
      <c r="L28" s="69">
        <f t="shared" si="8"/>
        <v>57.45</v>
      </c>
      <c r="M28" s="33">
        <f t="shared" si="9"/>
        <v>24.858173076923077</v>
      </c>
      <c r="N28" s="35">
        <f t="shared" si="10"/>
        <v>849.86365024038457</v>
      </c>
      <c r="O28" s="70">
        <v>0.12</v>
      </c>
      <c r="P28" s="35">
        <f t="shared" si="11"/>
        <v>101.98363802884614</v>
      </c>
      <c r="Q28" s="64">
        <v>712.5</v>
      </c>
      <c r="R28" s="35">
        <v>30.042999999999996</v>
      </c>
      <c r="S28" s="69">
        <f>Q28/30</f>
        <v>23.75</v>
      </c>
      <c r="T28" s="33">
        <f>Q28*(30/2080)</f>
        <v>10.276442307692308</v>
      </c>
      <c r="U28" s="35">
        <f>T28*R28</f>
        <v>308.73515624999999</v>
      </c>
      <c r="V28" s="69"/>
      <c r="W28" s="35"/>
      <c r="X28" s="35">
        <f t="shared" si="5"/>
        <v>2430.578141826923</v>
      </c>
      <c r="Y28" s="35">
        <f t="shared" si="7"/>
        <v>115.58930149038461</v>
      </c>
      <c r="Z28" s="35">
        <f t="shared" si="12"/>
        <v>1215.2890709134615</v>
      </c>
      <c r="AA28" s="35">
        <v>417.23</v>
      </c>
      <c r="AB28" s="44">
        <f t="shared" si="13"/>
        <v>4178.6865142307688</v>
      </c>
    </row>
    <row r="29" spans="1:28" x14ac:dyDescent="0.3">
      <c r="A29" s="30" t="s">
        <v>110</v>
      </c>
      <c r="B29" s="29">
        <v>43855</v>
      </c>
      <c r="C29" s="64"/>
      <c r="D29" s="35"/>
      <c r="E29" s="69"/>
      <c r="F29" s="69"/>
      <c r="G29" s="35"/>
      <c r="H29" s="84"/>
      <c r="I29" s="35"/>
      <c r="J29" s="64"/>
      <c r="K29" s="35"/>
      <c r="L29" s="69"/>
      <c r="M29" s="33"/>
      <c r="N29" s="35"/>
      <c r="O29" s="70"/>
      <c r="P29" s="35"/>
      <c r="Q29" s="64">
        <v>426</v>
      </c>
      <c r="R29" s="35">
        <v>26.26</v>
      </c>
      <c r="S29" s="69">
        <f>Q29/30</f>
        <v>14.2</v>
      </c>
      <c r="T29" s="33">
        <f>Q29*(30/2080)</f>
        <v>6.1442307692307692</v>
      </c>
      <c r="U29" s="35">
        <f>T29*R29</f>
        <v>161.3475</v>
      </c>
      <c r="V29" s="69"/>
      <c r="W29" s="35"/>
      <c r="X29" s="35">
        <f t="shared" si="5"/>
        <v>322.69499999999999</v>
      </c>
      <c r="Y29" s="35"/>
      <c r="Z29" s="35">
        <f t="shared" si="12"/>
        <v>161.3475</v>
      </c>
      <c r="AA29" s="35">
        <v>417.23</v>
      </c>
      <c r="AB29" s="44">
        <f t="shared" si="13"/>
        <v>901.27250000000004</v>
      </c>
    </row>
    <row r="30" spans="1:28" x14ac:dyDescent="0.3">
      <c r="A30" s="33" t="s">
        <v>56</v>
      </c>
      <c r="B30" s="29">
        <v>43570</v>
      </c>
      <c r="C30" s="64"/>
      <c r="D30" s="35"/>
      <c r="E30" s="69"/>
      <c r="F30" s="69"/>
      <c r="G30" s="35"/>
      <c r="H30" s="84"/>
      <c r="I30" s="35"/>
      <c r="J30" s="64">
        <v>473.5</v>
      </c>
      <c r="K30" s="35">
        <v>19.958333333333332</v>
      </c>
      <c r="L30" s="69">
        <f>J30/30</f>
        <v>15.783333333333333</v>
      </c>
      <c r="M30" s="33">
        <f>J30*(30/2080)</f>
        <v>6.8293269230769234</v>
      </c>
      <c r="N30" s="35">
        <f>M30*K30</f>
        <v>136.30198317307693</v>
      </c>
      <c r="O30" s="70">
        <v>0.12</v>
      </c>
      <c r="P30" s="35">
        <f>N30*O30</f>
        <v>16.356237980769233</v>
      </c>
      <c r="Q30" s="64">
        <v>951</v>
      </c>
      <c r="R30" s="35">
        <v>22.372499999999999</v>
      </c>
      <c r="S30" s="69">
        <f>Q30/30</f>
        <v>31.7</v>
      </c>
      <c r="T30" s="33">
        <f>Q30*(30/2080)</f>
        <v>13.716346153846155</v>
      </c>
      <c r="U30" s="35">
        <f>T30*R30</f>
        <v>306.86895432692307</v>
      </c>
      <c r="V30" s="69"/>
      <c r="W30" s="35"/>
      <c r="X30" s="35">
        <f t="shared" si="5"/>
        <v>886.34187500000007</v>
      </c>
      <c r="Y30" s="35">
        <f t="shared" si="7"/>
        <v>16.356237980769233</v>
      </c>
      <c r="Z30" s="35">
        <f t="shared" si="12"/>
        <v>443.17093750000004</v>
      </c>
      <c r="AA30" s="35">
        <v>417.23</v>
      </c>
      <c r="AB30" s="44">
        <f t="shared" si="13"/>
        <v>1763.0990504807694</v>
      </c>
    </row>
    <row r="31" spans="1:28" x14ac:dyDescent="0.3">
      <c r="A31" s="33" t="s">
        <v>114</v>
      </c>
      <c r="B31" s="29">
        <v>43496</v>
      </c>
      <c r="C31" s="64"/>
      <c r="D31" s="35"/>
      <c r="E31" s="69"/>
      <c r="F31" s="69"/>
      <c r="G31" s="35"/>
      <c r="H31" s="84"/>
      <c r="I31" s="35"/>
      <c r="J31" s="64">
        <v>1409</v>
      </c>
      <c r="K31" s="35">
        <v>20.382500000000007</v>
      </c>
      <c r="L31" s="69">
        <f>J31/30</f>
        <v>46.966666666666669</v>
      </c>
      <c r="M31" s="33">
        <f>J31*(30/2080)</f>
        <v>20.322115384615387</v>
      </c>
      <c r="N31" s="35">
        <f>M31*K31</f>
        <v>414.21551682692325</v>
      </c>
      <c r="O31" s="70">
        <v>0.12</v>
      </c>
      <c r="P31" s="35">
        <f>N31*O31</f>
        <v>49.705862019230786</v>
      </c>
      <c r="Q31" s="64"/>
      <c r="R31" s="35"/>
      <c r="S31" s="69"/>
      <c r="T31" s="33"/>
      <c r="U31" s="35"/>
      <c r="V31" s="69"/>
      <c r="W31" s="35"/>
      <c r="X31" s="35">
        <f t="shared" si="5"/>
        <v>828.4310336538465</v>
      </c>
      <c r="Y31" s="35">
        <f t="shared" si="7"/>
        <v>49.705862019230786</v>
      </c>
      <c r="Z31" s="35">
        <f t="shared" si="12"/>
        <v>414.21551682692325</v>
      </c>
      <c r="AA31" s="35">
        <v>417.23</v>
      </c>
      <c r="AB31" s="44">
        <f t="shared" si="13"/>
        <v>1709.5824125000006</v>
      </c>
    </row>
    <row r="32" spans="1:28" x14ac:dyDescent="0.3">
      <c r="A32" s="33" t="s">
        <v>57</v>
      </c>
      <c r="B32" s="29">
        <v>43857</v>
      </c>
      <c r="C32" s="64"/>
      <c r="D32" s="35"/>
      <c r="E32" s="69"/>
      <c r="F32" s="69"/>
      <c r="G32" s="35"/>
      <c r="H32" s="84"/>
      <c r="I32" s="35"/>
      <c r="J32" s="64"/>
      <c r="K32" s="35"/>
      <c r="L32" s="69"/>
      <c r="M32" s="33"/>
      <c r="N32" s="35"/>
      <c r="O32" s="70"/>
      <c r="P32" s="35"/>
      <c r="Q32" s="64">
        <v>761.5</v>
      </c>
      <c r="R32" s="35">
        <v>32.198999999999998</v>
      </c>
      <c r="S32" s="69">
        <f>Q32/30</f>
        <v>25.383333333333333</v>
      </c>
      <c r="T32" s="33">
        <f>Q32*(30/2080)</f>
        <v>10.983173076923077</v>
      </c>
      <c r="U32" s="35">
        <f>T32*R32</f>
        <v>353.64718990384614</v>
      </c>
      <c r="V32" s="69"/>
      <c r="W32" s="35"/>
      <c r="X32" s="35">
        <f t="shared" si="5"/>
        <v>707.29437980769228</v>
      </c>
      <c r="Y32" s="35"/>
      <c r="Z32" s="35">
        <f t="shared" si="12"/>
        <v>353.64718990384614</v>
      </c>
      <c r="AA32" s="35">
        <v>417.23</v>
      </c>
      <c r="AB32" s="44">
        <f t="shared" si="13"/>
        <v>1478.1715697115385</v>
      </c>
    </row>
    <row r="33" spans="1:28" x14ac:dyDescent="0.3">
      <c r="A33" s="30" t="s">
        <v>116</v>
      </c>
      <c r="B33" s="29">
        <v>43809</v>
      </c>
      <c r="C33" s="64"/>
      <c r="D33" s="35"/>
      <c r="E33" s="69"/>
      <c r="F33" s="69"/>
      <c r="G33" s="35"/>
      <c r="H33" s="84"/>
      <c r="I33" s="35"/>
      <c r="J33" s="64">
        <v>312</v>
      </c>
      <c r="K33" s="35">
        <v>26.26</v>
      </c>
      <c r="L33" s="69">
        <f t="shared" ref="L33:L38" si="14">J33/30</f>
        <v>10.4</v>
      </c>
      <c r="M33" s="33">
        <f t="shared" ref="M33:M38" si="15">J33*(30/2080)</f>
        <v>4.5</v>
      </c>
      <c r="N33" s="35">
        <f t="shared" ref="N33:N38" si="16">M33*K33</f>
        <v>118.17</v>
      </c>
      <c r="O33" s="70">
        <v>0.12</v>
      </c>
      <c r="P33" s="35">
        <f t="shared" ref="P33:P38" si="17">N33*O33</f>
        <v>14.180400000000001</v>
      </c>
      <c r="Q33" s="64">
        <v>279</v>
      </c>
      <c r="R33" s="35">
        <v>26.26</v>
      </c>
      <c r="S33" s="69">
        <f>Q33/30</f>
        <v>9.3000000000000007</v>
      </c>
      <c r="T33" s="33">
        <f>Q33*(30/2080)</f>
        <v>4.0240384615384617</v>
      </c>
      <c r="U33" s="35">
        <f>T33*R33</f>
        <v>105.67125000000001</v>
      </c>
      <c r="V33" s="69"/>
      <c r="W33" s="35"/>
      <c r="X33" s="35">
        <f t="shared" si="5"/>
        <v>447.6825</v>
      </c>
      <c r="Y33" s="35">
        <f t="shared" si="7"/>
        <v>14.180400000000001</v>
      </c>
      <c r="Z33" s="35">
        <f t="shared" si="12"/>
        <v>223.84125</v>
      </c>
      <c r="AA33" s="35">
        <v>417.23</v>
      </c>
      <c r="AB33" s="44">
        <f t="shared" si="13"/>
        <v>1102.93415</v>
      </c>
    </row>
    <row r="34" spans="1:28" x14ac:dyDescent="0.3">
      <c r="A34" s="30" t="s">
        <v>58</v>
      </c>
      <c r="B34" s="29">
        <v>43495</v>
      </c>
      <c r="C34" s="64">
        <v>1727.25</v>
      </c>
      <c r="D34" s="35">
        <v>41.63</v>
      </c>
      <c r="E34" s="69">
        <f>C34/30</f>
        <v>57.575000000000003</v>
      </c>
      <c r="F34" s="69">
        <f>C34*(30/2080)</f>
        <v>24.912259615384617</v>
      </c>
      <c r="G34" s="35">
        <f>F34*D34</f>
        <v>1037.0973677884617</v>
      </c>
      <c r="H34" s="84">
        <v>0.24</v>
      </c>
      <c r="I34" s="35">
        <f>G34*H34</f>
        <v>248.90336826923081</v>
      </c>
      <c r="J34" s="64">
        <v>514.5</v>
      </c>
      <c r="K34" s="35">
        <v>27.11</v>
      </c>
      <c r="L34" s="69">
        <f t="shared" si="14"/>
        <v>17.149999999999999</v>
      </c>
      <c r="M34" s="33">
        <f t="shared" si="15"/>
        <v>7.4206730769230775</v>
      </c>
      <c r="N34" s="35">
        <f t="shared" si="16"/>
        <v>201.17444711538462</v>
      </c>
      <c r="O34" s="70">
        <v>0.12</v>
      </c>
      <c r="P34" s="35">
        <f t="shared" si="17"/>
        <v>24.140933653846155</v>
      </c>
      <c r="Q34" s="64">
        <v>229.5</v>
      </c>
      <c r="R34" s="35">
        <v>63.405000000000001</v>
      </c>
      <c r="S34" s="69">
        <f>Q34/30</f>
        <v>7.65</v>
      </c>
      <c r="T34" s="33">
        <f>Q34*(30/2080)</f>
        <v>3.3100961538461542</v>
      </c>
      <c r="U34" s="35">
        <f>T34*R34</f>
        <v>209.87664663461541</v>
      </c>
      <c r="V34" s="69"/>
      <c r="W34" s="35"/>
      <c r="X34" s="35">
        <f t="shared" si="5"/>
        <v>2896.2969230769236</v>
      </c>
      <c r="Y34" s="35">
        <f t="shared" si="7"/>
        <v>273.04430192307694</v>
      </c>
      <c r="Z34" s="35">
        <f t="shared" si="12"/>
        <v>1448.1484615384618</v>
      </c>
      <c r="AA34" s="35">
        <v>417.23</v>
      </c>
      <c r="AB34" s="44">
        <f t="shared" si="13"/>
        <v>5034.7196865384631</v>
      </c>
    </row>
    <row r="35" spans="1:28" x14ac:dyDescent="0.3">
      <c r="A35" s="33" t="s">
        <v>59</v>
      </c>
      <c r="B35" s="29">
        <v>43467</v>
      </c>
      <c r="C35" s="64"/>
      <c r="D35" s="35"/>
      <c r="E35" s="69"/>
      <c r="F35" s="69"/>
      <c r="G35" s="35"/>
      <c r="H35" s="84"/>
      <c r="I35" s="35"/>
      <c r="J35" s="64">
        <v>2142.5</v>
      </c>
      <c r="K35" s="35">
        <v>27.472608695652173</v>
      </c>
      <c r="L35" s="69">
        <f t="shared" si="14"/>
        <v>71.416666666666671</v>
      </c>
      <c r="M35" s="33">
        <f t="shared" si="15"/>
        <v>30.90144230769231</v>
      </c>
      <c r="N35" s="35">
        <f t="shared" si="16"/>
        <v>848.94323265050173</v>
      </c>
      <c r="O35" s="70">
        <v>0.12</v>
      </c>
      <c r="P35" s="35">
        <f t="shared" si="17"/>
        <v>101.8731879180602</v>
      </c>
      <c r="Q35" s="64">
        <v>751.5</v>
      </c>
      <c r="R35" s="35">
        <v>30.287272727272725</v>
      </c>
      <c r="S35" s="69">
        <f>Q35/30</f>
        <v>25.05</v>
      </c>
      <c r="T35" s="33">
        <f>Q35*(30/2080)</f>
        <v>10.838942307692308</v>
      </c>
      <c r="U35" s="35">
        <f>T35*R35</f>
        <v>328.28200174825173</v>
      </c>
      <c r="V35" s="69"/>
      <c r="W35" s="35"/>
      <c r="X35" s="35">
        <f t="shared" si="5"/>
        <v>2354.4504687975068</v>
      </c>
      <c r="Y35" s="35">
        <f t="shared" si="7"/>
        <v>101.8731879180602</v>
      </c>
      <c r="Z35" s="35">
        <f t="shared" si="12"/>
        <v>1177.2252343987534</v>
      </c>
      <c r="AA35" s="35">
        <v>417.23</v>
      </c>
      <c r="AB35" s="44">
        <f t="shared" si="13"/>
        <v>4050.7788911143202</v>
      </c>
    </row>
    <row r="36" spans="1:28" x14ac:dyDescent="0.3">
      <c r="A36" s="33" t="s">
        <v>117</v>
      </c>
      <c r="B36" s="29">
        <v>43419</v>
      </c>
      <c r="C36" s="64">
        <v>136</v>
      </c>
      <c r="D36" s="35">
        <v>21.255000000000003</v>
      </c>
      <c r="E36" s="69">
        <f>C36/30</f>
        <v>4.5333333333333332</v>
      </c>
      <c r="F36" s="69">
        <f>C36*(30/2080)</f>
        <v>1.9615384615384617</v>
      </c>
      <c r="G36" s="35">
        <f>F36*D36</f>
        <v>41.69250000000001</v>
      </c>
      <c r="H36" s="84">
        <v>0.24</v>
      </c>
      <c r="I36" s="35">
        <f>G36*H36</f>
        <v>10.006200000000002</v>
      </c>
      <c r="J36" s="64">
        <v>560.5</v>
      </c>
      <c r="K36" s="35">
        <v>37.489999999999995</v>
      </c>
      <c r="L36" s="69">
        <f t="shared" si="14"/>
        <v>18.683333333333334</v>
      </c>
      <c r="M36" s="33">
        <f t="shared" si="15"/>
        <v>8.084134615384615</v>
      </c>
      <c r="N36" s="35">
        <f t="shared" si="16"/>
        <v>303.07420673076916</v>
      </c>
      <c r="O36" s="70">
        <v>0.12</v>
      </c>
      <c r="P36" s="35">
        <f t="shared" si="17"/>
        <v>36.368904807692296</v>
      </c>
      <c r="Q36" s="64"/>
      <c r="R36" s="35"/>
      <c r="S36" s="69"/>
      <c r="T36" s="33"/>
      <c r="U36" s="35"/>
      <c r="V36" s="69"/>
      <c r="W36" s="35"/>
      <c r="X36" s="35">
        <f t="shared" si="5"/>
        <v>689.53341346153832</v>
      </c>
      <c r="Y36" s="35">
        <f t="shared" si="7"/>
        <v>46.375104807692296</v>
      </c>
      <c r="Z36" s="35">
        <f t="shared" si="12"/>
        <v>344.76670673076916</v>
      </c>
      <c r="AA36" s="35">
        <v>417.23</v>
      </c>
      <c r="AB36" s="44">
        <f t="shared" si="13"/>
        <v>1497.9052249999997</v>
      </c>
    </row>
    <row r="37" spans="1:28" x14ac:dyDescent="0.3">
      <c r="A37" s="33" t="s">
        <v>60</v>
      </c>
      <c r="B37" s="29">
        <v>43709</v>
      </c>
      <c r="C37" s="64"/>
      <c r="D37" s="35"/>
      <c r="E37" s="69"/>
      <c r="F37" s="69"/>
      <c r="G37" s="35"/>
      <c r="H37" s="84"/>
      <c r="I37" s="35"/>
      <c r="J37" s="64">
        <v>732</v>
      </c>
      <c r="K37" s="35">
        <v>20.82</v>
      </c>
      <c r="L37" s="69">
        <f t="shared" si="14"/>
        <v>24.4</v>
      </c>
      <c r="M37" s="33">
        <f t="shared" si="15"/>
        <v>10.557692307692308</v>
      </c>
      <c r="N37" s="35">
        <f t="shared" si="16"/>
        <v>219.81115384615387</v>
      </c>
      <c r="O37" s="70">
        <v>0.12</v>
      </c>
      <c r="P37" s="35">
        <f t="shared" si="17"/>
        <v>26.377338461538464</v>
      </c>
      <c r="Q37" s="64">
        <v>855.5</v>
      </c>
      <c r="R37" s="35">
        <v>22.619166666666668</v>
      </c>
      <c r="S37" s="69">
        <f>Q37/30</f>
        <v>28.516666666666666</v>
      </c>
      <c r="T37" s="33">
        <f>Q37*(30/2080)</f>
        <v>12.338942307692308</v>
      </c>
      <c r="U37" s="35">
        <f>T37*R37</f>
        <v>279.09659254807696</v>
      </c>
      <c r="V37" s="69"/>
      <c r="W37" s="35"/>
      <c r="X37" s="35">
        <f t="shared" si="5"/>
        <v>997.8154927884616</v>
      </c>
      <c r="Y37" s="35">
        <f t="shared" si="7"/>
        <v>26.377338461538464</v>
      </c>
      <c r="Z37" s="35">
        <f t="shared" si="12"/>
        <v>498.9077463942308</v>
      </c>
      <c r="AA37" s="35">
        <v>417.23</v>
      </c>
      <c r="AB37" s="44">
        <f t="shared" si="13"/>
        <v>1940.330577644231</v>
      </c>
    </row>
    <row r="38" spans="1:28" x14ac:dyDescent="0.3">
      <c r="A38" s="33" t="s">
        <v>61</v>
      </c>
      <c r="B38" s="29">
        <v>43405</v>
      </c>
      <c r="C38" s="64"/>
      <c r="D38" s="35"/>
      <c r="E38" s="69"/>
      <c r="F38" s="69"/>
      <c r="G38" s="35"/>
      <c r="H38" s="84"/>
      <c r="I38" s="35"/>
      <c r="J38" s="64">
        <v>1442.5</v>
      </c>
      <c r="K38" s="35">
        <v>33.695999999999998</v>
      </c>
      <c r="L38" s="69">
        <f t="shared" si="14"/>
        <v>48.083333333333336</v>
      </c>
      <c r="M38" s="33">
        <f t="shared" si="15"/>
        <v>20.805288461538463</v>
      </c>
      <c r="N38" s="35">
        <f t="shared" si="16"/>
        <v>701.05500000000006</v>
      </c>
      <c r="O38" s="70">
        <v>0.12</v>
      </c>
      <c r="P38" s="35">
        <f t="shared" si="17"/>
        <v>84.12660000000001</v>
      </c>
      <c r="Q38" s="64">
        <v>1086</v>
      </c>
      <c r="R38" s="35">
        <v>35.193846153846152</v>
      </c>
      <c r="S38" s="69">
        <f>Q38/30</f>
        <v>36.200000000000003</v>
      </c>
      <c r="T38" s="33">
        <f>Q38*(30/2080)</f>
        <v>15.66346153846154</v>
      </c>
      <c r="U38" s="35">
        <f>T38*R38</f>
        <v>551.2574556213018</v>
      </c>
      <c r="V38" s="69"/>
      <c r="W38" s="35"/>
      <c r="X38" s="35">
        <f t="shared" si="5"/>
        <v>2504.624911242604</v>
      </c>
      <c r="Y38" s="35">
        <f t="shared" si="7"/>
        <v>84.12660000000001</v>
      </c>
      <c r="Z38" s="35">
        <f t="shared" si="12"/>
        <v>1252.312455621302</v>
      </c>
      <c r="AA38" s="35">
        <v>417.23</v>
      </c>
      <c r="AB38" s="44">
        <f t="shared" si="13"/>
        <v>4258.2939668639065</v>
      </c>
    </row>
    <row r="39" spans="1:28" x14ac:dyDescent="0.3">
      <c r="A39" s="33" t="s">
        <v>62</v>
      </c>
      <c r="B39" s="29">
        <v>43891</v>
      </c>
      <c r="C39" s="64"/>
      <c r="D39" s="35"/>
      <c r="E39" s="69"/>
      <c r="F39" s="69"/>
      <c r="G39" s="35"/>
      <c r="H39" s="84"/>
      <c r="I39" s="35"/>
      <c r="J39" s="64"/>
      <c r="K39" s="35"/>
      <c r="L39" s="33"/>
      <c r="M39" s="33"/>
      <c r="N39" s="35"/>
      <c r="O39" s="70"/>
      <c r="P39" s="35"/>
      <c r="Q39" s="64">
        <v>391.5</v>
      </c>
      <c r="R39" s="35">
        <v>24.141666666666666</v>
      </c>
      <c r="S39" s="69">
        <f>Q39/30</f>
        <v>13.05</v>
      </c>
      <c r="T39" s="33">
        <f>Q39*(30/2080)</f>
        <v>5.6466346153846159</v>
      </c>
      <c r="U39" s="35">
        <f>T39*R39</f>
        <v>136.31917067307694</v>
      </c>
      <c r="V39" s="69"/>
      <c r="W39" s="35"/>
      <c r="X39" s="35">
        <f t="shared" si="5"/>
        <v>272.63834134615388</v>
      </c>
      <c r="Y39" s="35"/>
      <c r="Z39" s="35">
        <f t="shared" si="12"/>
        <v>136.31917067307694</v>
      </c>
      <c r="AA39" s="35">
        <v>417.23</v>
      </c>
      <c r="AB39" s="44">
        <f t="shared" si="13"/>
        <v>826.18751201923078</v>
      </c>
    </row>
    <row r="40" spans="1:28" ht="18" x14ac:dyDescent="0.35">
      <c r="C40" s="60"/>
      <c r="D40" s="44"/>
      <c r="E40" s="44"/>
      <c r="F40" s="44"/>
      <c r="G40" s="44"/>
      <c r="H40" s="44"/>
      <c r="I40" s="44"/>
      <c r="J40" s="61"/>
      <c r="Q40" s="60"/>
      <c r="X40" s="71">
        <f>SUM(X2:X39)</f>
        <v>44304.015687008796</v>
      </c>
      <c r="Y40" s="71">
        <f>SUM(Y2:Y39)</f>
        <v>2251.4679621904706</v>
      </c>
      <c r="Z40" s="71">
        <f>SUM(Z2:Z39)</f>
        <v>22152.007843504398</v>
      </c>
      <c r="AA40" s="71">
        <f>SUM(AA2:AA39)</f>
        <v>15854.739999999989</v>
      </c>
      <c r="AB40" s="72">
        <f>SUM(AB2:AB39)</f>
        <v>84562.23149270365</v>
      </c>
    </row>
    <row r="41" spans="1:28" x14ac:dyDescent="0.3">
      <c r="D41" s="44"/>
      <c r="E41" s="44"/>
      <c r="F41" s="44"/>
      <c r="G41" s="44"/>
      <c r="H41" s="44"/>
      <c r="I41" s="44"/>
    </row>
    <row r="42" spans="1:28" x14ac:dyDescent="0.3">
      <c r="A42" s="85" t="s">
        <v>177</v>
      </c>
    </row>
    <row r="43" spans="1:28" x14ac:dyDescent="0.3">
      <c r="A43" s="86" t="s">
        <v>178</v>
      </c>
    </row>
    <row r="44" spans="1:28" x14ac:dyDescent="0.3">
      <c r="A44" s="87" t="s">
        <v>179</v>
      </c>
    </row>
    <row r="45" spans="1:28" x14ac:dyDescent="0.3">
      <c r="A45" s="87" t="s">
        <v>180</v>
      </c>
    </row>
    <row r="46" spans="1:28" x14ac:dyDescent="0.3">
      <c r="A46" s="87" t="s">
        <v>181</v>
      </c>
    </row>
    <row r="47" spans="1:28" x14ac:dyDescent="0.3">
      <c r="A47" s="87" t="s">
        <v>182</v>
      </c>
    </row>
    <row r="48" spans="1:28" x14ac:dyDescent="0.3">
      <c r="A48" s="87" t="s">
        <v>89</v>
      </c>
    </row>
    <row r="49" spans="1:1" x14ac:dyDescent="0.3">
      <c r="A49" s="87" t="s">
        <v>92</v>
      </c>
    </row>
    <row r="50" spans="1:1" x14ac:dyDescent="0.3">
      <c r="A50" s="87" t="s">
        <v>100</v>
      </c>
    </row>
    <row r="51" spans="1:1" x14ac:dyDescent="0.3">
      <c r="A51" s="87" t="s">
        <v>102</v>
      </c>
    </row>
    <row r="52" spans="1:1" x14ac:dyDescent="0.3">
      <c r="A52" s="87" t="s">
        <v>103</v>
      </c>
    </row>
    <row r="53" spans="1:1" x14ac:dyDescent="0.3">
      <c r="A53" s="87" t="s">
        <v>106</v>
      </c>
    </row>
    <row r="54" spans="1:1" x14ac:dyDescent="0.3">
      <c r="A54" s="87" t="s">
        <v>107</v>
      </c>
    </row>
    <row r="55" spans="1:1" x14ac:dyDescent="0.3">
      <c r="A55" s="87" t="s">
        <v>111</v>
      </c>
    </row>
    <row r="56" spans="1:1" x14ac:dyDescent="0.3">
      <c r="A56" s="87" t="s">
        <v>112</v>
      </c>
    </row>
    <row r="57" spans="1:1" x14ac:dyDescent="0.3">
      <c r="A57" s="87" t="s">
        <v>183</v>
      </c>
    </row>
  </sheetData>
  <sheetProtection algorithmName="SHA-512" hashValue="watpEAO8Fgt/4YqP99vYs2zfd2ww2k70i7nLsUMuozYfmNXXQReMuA06szBvOVtKBxCi7Yh2+HVdr2zHBrxgMQ==" saltValue="lhpAEtlbGDcL+flw31fngg==" spinCount="100000" sheet="1" objects="1" scenarios="1" selectLockedCells="1" selectUnlockedCells="1"/>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107C0-9F2D-4EEB-B416-2DD5BBBE070A}">
  <dimension ref="A1:U1097"/>
  <sheetViews>
    <sheetView topLeftCell="A260" workbookViewId="0">
      <selection activeCell="A260" sqref="A1:XFD1048576"/>
    </sheetView>
  </sheetViews>
  <sheetFormatPr defaultRowHeight="14.4" x14ac:dyDescent="0.3"/>
  <cols>
    <col min="1" max="1" width="15.44140625" style="28" customWidth="1"/>
    <col min="2" max="2" width="30.88671875" customWidth="1"/>
    <col min="3" max="3" width="15.88671875" customWidth="1"/>
    <col min="4" max="4" width="9.88671875" customWidth="1"/>
    <col min="5" max="5" width="13" customWidth="1"/>
    <col min="6" max="6" width="14.109375" customWidth="1"/>
    <col min="7" max="7" width="15.109375" customWidth="1"/>
    <col min="8" max="8" width="17.33203125" customWidth="1"/>
    <col min="9" max="9" width="15.44140625" customWidth="1"/>
    <col min="10" max="10" width="15.5546875" customWidth="1"/>
    <col min="11" max="11" width="12.6640625" customWidth="1"/>
    <col min="12" max="12" width="11" customWidth="1"/>
    <col min="13" max="13" width="12.88671875" customWidth="1"/>
    <col min="14" max="14" width="12" customWidth="1"/>
    <col min="15" max="15" width="16.88671875" customWidth="1"/>
    <col min="16" max="16" width="11" customWidth="1"/>
    <col min="17" max="17" width="11.88671875" bestFit="1" customWidth="1"/>
    <col min="18" max="18" width="10.109375" bestFit="1" customWidth="1"/>
    <col min="19" max="19" width="10.109375" customWidth="1"/>
    <col min="20" max="20" width="9.6640625" bestFit="1" customWidth="1"/>
  </cols>
  <sheetData>
    <row r="1" spans="1:21" x14ac:dyDescent="0.3">
      <c r="A1" s="48" t="s">
        <v>3</v>
      </c>
      <c r="B1" s="12" t="s">
        <v>4</v>
      </c>
      <c r="C1" s="11" t="s">
        <v>5</v>
      </c>
      <c r="D1" s="11" t="s">
        <v>6</v>
      </c>
      <c r="E1" s="11" t="s">
        <v>136</v>
      </c>
      <c r="F1" s="11" t="s">
        <v>184</v>
      </c>
      <c r="G1" s="11" t="s">
        <v>7</v>
      </c>
      <c r="H1" s="11" t="s">
        <v>8</v>
      </c>
      <c r="I1" s="11" t="s">
        <v>9</v>
      </c>
      <c r="J1" s="11" t="s">
        <v>10</v>
      </c>
      <c r="K1" s="11" t="s">
        <v>11</v>
      </c>
      <c r="L1" s="11" t="s">
        <v>12</v>
      </c>
      <c r="M1" s="11" t="s">
        <v>138</v>
      </c>
      <c r="N1" s="11" t="s">
        <v>139</v>
      </c>
      <c r="O1" s="11" t="s">
        <v>140</v>
      </c>
      <c r="P1" s="11" t="s">
        <v>141</v>
      </c>
      <c r="Q1" s="11" t="s">
        <v>142</v>
      </c>
      <c r="R1" s="11" t="s">
        <v>143</v>
      </c>
      <c r="S1" s="11" t="s">
        <v>185</v>
      </c>
      <c r="T1" s="28">
        <v>44075</v>
      </c>
    </row>
    <row r="2" spans="1:21" x14ac:dyDescent="0.3">
      <c r="A2" s="77">
        <v>43253</v>
      </c>
      <c r="B2" s="78" t="s">
        <v>119</v>
      </c>
      <c r="C2" s="73"/>
      <c r="D2" s="75">
        <v>44</v>
      </c>
      <c r="E2" s="73"/>
      <c r="F2" s="73"/>
      <c r="G2" s="73"/>
      <c r="H2" s="73"/>
      <c r="I2" s="73"/>
      <c r="J2" s="73"/>
      <c r="K2" s="73"/>
      <c r="L2" s="73"/>
      <c r="M2" s="73"/>
      <c r="N2" s="75">
        <v>44</v>
      </c>
      <c r="O2" s="40">
        <f>(M2*40)+(M2*1.5)*4</f>
        <v>0</v>
      </c>
      <c r="P2" s="35">
        <f t="shared" ref="P2:P13" si="0">ROUND(((ROUNDDOWN(($W$1-A2)/30,0))/100)*O2,2)</f>
        <v>0</v>
      </c>
      <c r="Q2" s="40">
        <f t="shared" ref="Q2:Q13" si="1">O2*1.75</f>
        <v>0</v>
      </c>
      <c r="R2" s="80">
        <v>546.07000000000005</v>
      </c>
      <c r="S2" s="73"/>
      <c r="T2" s="79"/>
      <c r="U2" s="74"/>
    </row>
    <row r="3" spans="1:21" x14ac:dyDescent="0.3">
      <c r="A3" s="77">
        <v>43267</v>
      </c>
      <c r="B3" s="78" t="s">
        <v>119</v>
      </c>
      <c r="C3" s="73"/>
      <c r="D3" s="75">
        <v>106</v>
      </c>
      <c r="E3" s="73"/>
      <c r="F3" s="73"/>
      <c r="G3" s="73"/>
      <c r="H3" s="73"/>
      <c r="I3" s="73"/>
      <c r="J3" s="73"/>
      <c r="K3" s="73"/>
      <c r="L3" s="73"/>
      <c r="M3" s="73"/>
      <c r="N3" s="75">
        <v>106</v>
      </c>
      <c r="O3" s="40">
        <f>(M3*80)+(N3-80)*(M3*1.5)</f>
        <v>0</v>
      </c>
      <c r="P3" s="35">
        <f t="shared" si="0"/>
        <v>0</v>
      </c>
      <c r="Q3" s="40">
        <f t="shared" si="1"/>
        <v>0</v>
      </c>
      <c r="R3" s="73"/>
      <c r="S3" s="73"/>
      <c r="T3" s="79"/>
      <c r="U3" s="74"/>
    </row>
    <row r="4" spans="1:21" x14ac:dyDescent="0.3">
      <c r="A4" s="77">
        <v>43281</v>
      </c>
      <c r="B4" s="78" t="s">
        <v>119</v>
      </c>
      <c r="C4" s="73"/>
      <c r="D4" s="75">
        <v>103</v>
      </c>
      <c r="E4" s="73"/>
      <c r="F4" s="73"/>
      <c r="G4" s="73"/>
      <c r="H4" s="73"/>
      <c r="I4" s="73"/>
      <c r="J4" s="73"/>
      <c r="K4" s="73"/>
      <c r="L4" s="73"/>
      <c r="M4" s="73"/>
      <c r="N4" s="75">
        <v>103</v>
      </c>
      <c r="O4" s="40">
        <f>(M4*80)+(N4-80)*(M4*1.5)</f>
        <v>0</v>
      </c>
      <c r="P4" s="35">
        <f t="shared" si="0"/>
        <v>0</v>
      </c>
      <c r="Q4" s="40">
        <f t="shared" si="1"/>
        <v>0</v>
      </c>
      <c r="R4" s="73"/>
      <c r="S4" s="73"/>
      <c r="T4" s="79"/>
      <c r="U4" s="74"/>
    </row>
    <row r="5" spans="1:21" x14ac:dyDescent="0.3">
      <c r="A5" s="77">
        <v>43295</v>
      </c>
      <c r="B5" s="78" t="s">
        <v>119</v>
      </c>
      <c r="C5" s="73"/>
      <c r="D5" s="75">
        <v>72</v>
      </c>
      <c r="E5" s="73"/>
      <c r="F5" s="73"/>
      <c r="G5" s="73"/>
      <c r="H5" s="73"/>
      <c r="I5" s="73"/>
      <c r="J5" s="73"/>
      <c r="K5" s="73"/>
      <c r="L5" s="73"/>
      <c r="M5" s="73"/>
      <c r="N5" s="75">
        <v>72</v>
      </c>
      <c r="O5" s="40">
        <f>(M5*40)+(M5*1.5)*32</f>
        <v>0</v>
      </c>
      <c r="P5" s="35">
        <f t="shared" si="0"/>
        <v>0</v>
      </c>
      <c r="Q5" s="40">
        <f t="shared" si="1"/>
        <v>0</v>
      </c>
      <c r="R5" s="73"/>
      <c r="S5" s="73"/>
      <c r="T5" s="79"/>
      <c r="U5" s="74"/>
    </row>
    <row r="6" spans="1:21" x14ac:dyDescent="0.3">
      <c r="A6" s="77">
        <v>43309</v>
      </c>
      <c r="B6" s="78" t="s">
        <v>119</v>
      </c>
      <c r="C6" s="73"/>
      <c r="D6" s="75">
        <v>87</v>
      </c>
      <c r="E6" s="73"/>
      <c r="F6" s="73"/>
      <c r="G6" s="73"/>
      <c r="H6" s="73"/>
      <c r="I6" s="73"/>
      <c r="J6" s="73"/>
      <c r="K6" s="73"/>
      <c r="L6" s="73"/>
      <c r="M6" s="73"/>
      <c r="N6" s="75">
        <v>87</v>
      </c>
      <c r="O6" s="40">
        <f t="shared" ref="O6:O12" si="2">(M6*80)+(N6-80)*(M6*1.5)</f>
        <v>0</v>
      </c>
      <c r="P6" s="35">
        <f t="shared" si="0"/>
        <v>0</v>
      </c>
      <c r="Q6" s="40">
        <f t="shared" si="1"/>
        <v>0</v>
      </c>
      <c r="R6" s="73"/>
      <c r="S6" s="73"/>
      <c r="T6" s="79"/>
      <c r="U6" s="74"/>
    </row>
    <row r="7" spans="1:21" x14ac:dyDescent="0.3">
      <c r="A7" s="77">
        <v>43323</v>
      </c>
      <c r="B7" s="78" t="s">
        <v>119</v>
      </c>
      <c r="C7" s="73"/>
      <c r="D7" s="75">
        <v>89</v>
      </c>
      <c r="E7" s="73"/>
      <c r="F7" s="73"/>
      <c r="G7" s="73"/>
      <c r="H7" s="73"/>
      <c r="I7" s="73"/>
      <c r="J7" s="73"/>
      <c r="K7" s="73"/>
      <c r="L7" s="73"/>
      <c r="M7" s="73"/>
      <c r="N7" s="75">
        <v>89</v>
      </c>
      <c r="O7" s="40">
        <f t="shared" si="2"/>
        <v>0</v>
      </c>
      <c r="P7" s="35">
        <f t="shared" si="0"/>
        <v>0</v>
      </c>
      <c r="Q7" s="40">
        <f t="shared" si="1"/>
        <v>0</v>
      </c>
      <c r="R7" s="73"/>
      <c r="S7" s="73"/>
      <c r="T7" s="79"/>
      <c r="U7" s="74"/>
    </row>
    <row r="8" spans="1:21" x14ac:dyDescent="0.3">
      <c r="A8" s="77">
        <v>43337</v>
      </c>
      <c r="B8" s="78" t="s">
        <v>119</v>
      </c>
      <c r="C8" s="73"/>
      <c r="D8" s="75">
        <v>95</v>
      </c>
      <c r="E8" s="73"/>
      <c r="F8" s="73"/>
      <c r="G8" s="73"/>
      <c r="H8" s="73"/>
      <c r="I8" s="73"/>
      <c r="J8" s="73"/>
      <c r="K8" s="73"/>
      <c r="L8" s="73"/>
      <c r="M8" s="73"/>
      <c r="N8" s="75">
        <v>95</v>
      </c>
      <c r="O8" s="40">
        <f t="shared" si="2"/>
        <v>0</v>
      </c>
      <c r="P8" s="35">
        <f t="shared" si="0"/>
        <v>0</v>
      </c>
      <c r="Q8" s="40">
        <f t="shared" si="1"/>
        <v>0</v>
      </c>
      <c r="R8" s="73"/>
      <c r="S8" s="73"/>
      <c r="T8" s="79"/>
      <c r="U8" s="74"/>
    </row>
    <row r="9" spans="1:21" x14ac:dyDescent="0.3">
      <c r="A9" s="77">
        <v>43351</v>
      </c>
      <c r="B9" s="78" t="s">
        <v>119</v>
      </c>
      <c r="C9" s="73"/>
      <c r="D9" s="75">
        <v>83</v>
      </c>
      <c r="E9" s="73"/>
      <c r="F9" s="73"/>
      <c r="G9" s="73"/>
      <c r="H9" s="73"/>
      <c r="I9" s="73"/>
      <c r="J9" s="73"/>
      <c r="K9" s="73"/>
      <c r="L9" s="73"/>
      <c r="M9" s="73"/>
      <c r="N9" s="75">
        <v>83</v>
      </c>
      <c r="O9" s="40">
        <f t="shared" si="2"/>
        <v>0</v>
      </c>
      <c r="P9" s="35">
        <f t="shared" si="0"/>
        <v>0</v>
      </c>
      <c r="Q9" s="40">
        <f t="shared" si="1"/>
        <v>0</v>
      </c>
      <c r="R9" s="73"/>
      <c r="S9" s="73"/>
      <c r="T9" s="79"/>
      <c r="U9" s="74"/>
    </row>
    <row r="10" spans="1:21" x14ac:dyDescent="0.3">
      <c r="A10" s="77">
        <v>43365</v>
      </c>
      <c r="B10" s="78" t="s">
        <v>119</v>
      </c>
      <c r="C10" s="73"/>
      <c r="D10" s="75">
        <v>111</v>
      </c>
      <c r="E10" s="73"/>
      <c r="F10" s="73"/>
      <c r="G10" s="73"/>
      <c r="H10" s="73"/>
      <c r="I10" s="73"/>
      <c r="J10" s="73"/>
      <c r="K10" s="73"/>
      <c r="L10" s="73"/>
      <c r="M10" s="73"/>
      <c r="N10" s="75">
        <v>111</v>
      </c>
      <c r="O10" s="40">
        <f t="shared" si="2"/>
        <v>0</v>
      </c>
      <c r="P10" s="35">
        <f t="shared" si="0"/>
        <v>0</v>
      </c>
      <c r="Q10" s="40">
        <f t="shared" si="1"/>
        <v>0</v>
      </c>
      <c r="R10" s="73"/>
      <c r="S10" s="73"/>
      <c r="T10" s="79"/>
      <c r="U10" s="74"/>
    </row>
    <row r="11" spans="1:21" x14ac:dyDescent="0.3">
      <c r="A11" s="77">
        <v>43379</v>
      </c>
      <c r="B11" s="78" t="s">
        <v>119</v>
      </c>
      <c r="C11" s="73"/>
      <c r="D11" s="75">
        <v>99.75</v>
      </c>
      <c r="E11" s="73"/>
      <c r="F11" s="73"/>
      <c r="G11" s="73"/>
      <c r="H11" s="73"/>
      <c r="I11" s="73"/>
      <c r="J11" s="73"/>
      <c r="K11" s="73"/>
      <c r="L11" s="73"/>
      <c r="M11" s="73"/>
      <c r="N11" s="75">
        <v>99.75</v>
      </c>
      <c r="O11" s="40">
        <f t="shared" si="2"/>
        <v>0</v>
      </c>
      <c r="P11" s="35">
        <f t="shared" si="0"/>
        <v>0</v>
      </c>
      <c r="Q11" s="40">
        <f t="shared" si="1"/>
        <v>0</v>
      </c>
      <c r="R11" s="73"/>
      <c r="S11" s="73"/>
      <c r="T11" s="79"/>
      <c r="U11" s="74"/>
    </row>
    <row r="12" spans="1:21" x14ac:dyDescent="0.3">
      <c r="A12" s="77">
        <v>43393</v>
      </c>
      <c r="B12" s="78" t="s">
        <v>119</v>
      </c>
      <c r="C12" s="73"/>
      <c r="D12" s="75">
        <v>114</v>
      </c>
      <c r="E12" s="73"/>
      <c r="F12" s="73"/>
      <c r="G12" s="73"/>
      <c r="H12" s="73"/>
      <c r="I12" s="73"/>
      <c r="J12" s="73"/>
      <c r="K12" s="73"/>
      <c r="L12" s="73"/>
      <c r="M12" s="73"/>
      <c r="N12" s="75">
        <v>114</v>
      </c>
      <c r="O12" s="40">
        <f t="shared" si="2"/>
        <v>0</v>
      </c>
      <c r="P12" s="35">
        <f t="shared" si="0"/>
        <v>0</v>
      </c>
      <c r="Q12" s="40">
        <f t="shared" si="1"/>
        <v>0</v>
      </c>
      <c r="R12" s="73"/>
      <c r="S12" s="73"/>
      <c r="T12" s="79"/>
      <c r="U12" s="74"/>
    </row>
    <row r="13" spans="1:21" x14ac:dyDescent="0.3">
      <c r="A13" s="77">
        <v>43407</v>
      </c>
      <c r="B13" s="78" t="s">
        <v>119</v>
      </c>
      <c r="C13" s="73"/>
      <c r="D13" s="75">
        <v>53</v>
      </c>
      <c r="E13" s="73"/>
      <c r="F13" s="73"/>
      <c r="G13" s="73"/>
      <c r="H13" s="73"/>
      <c r="I13" s="73"/>
      <c r="J13" s="73"/>
      <c r="K13" s="73"/>
      <c r="L13" s="73"/>
      <c r="M13" s="73"/>
      <c r="N13" s="75">
        <v>53</v>
      </c>
      <c r="O13" s="40">
        <f>(M13*40)+(M13*1.5)*13</f>
        <v>0</v>
      </c>
      <c r="P13" s="35">
        <f t="shared" si="0"/>
        <v>0</v>
      </c>
      <c r="Q13" s="40">
        <f t="shared" si="1"/>
        <v>0</v>
      </c>
      <c r="R13" s="73"/>
      <c r="S13" s="73"/>
      <c r="T13" s="79"/>
      <c r="U13" s="74"/>
    </row>
    <row r="14" spans="1:21" x14ac:dyDescent="0.3">
      <c r="A14" s="32">
        <v>43393</v>
      </c>
      <c r="B14" s="33" t="s">
        <v>76</v>
      </c>
      <c r="C14" s="33"/>
      <c r="D14" s="31">
        <v>30</v>
      </c>
      <c r="E14" s="33"/>
      <c r="F14" s="33"/>
      <c r="G14" s="33"/>
      <c r="H14" s="33"/>
      <c r="I14" s="33"/>
      <c r="J14" s="33"/>
      <c r="K14" s="33"/>
      <c r="L14" s="33"/>
      <c r="M14" s="35">
        <v>21.87</v>
      </c>
      <c r="N14" s="33">
        <v>30</v>
      </c>
      <c r="O14" s="35">
        <f>M14*N14</f>
        <v>656.1</v>
      </c>
      <c r="P14" s="35"/>
      <c r="Q14" s="35">
        <f t="shared" ref="Q14:Q45" si="3">O14*1.5</f>
        <v>984.15000000000009</v>
      </c>
      <c r="R14" s="35"/>
      <c r="S14">
        <v>21.87</v>
      </c>
      <c r="T14" s="28"/>
    </row>
    <row r="15" spans="1:21" x14ac:dyDescent="0.3">
      <c r="A15" s="32">
        <v>43407</v>
      </c>
      <c r="B15" s="33" t="s">
        <v>76</v>
      </c>
      <c r="C15" s="33"/>
      <c r="D15" s="31">
        <v>108</v>
      </c>
      <c r="E15" s="33"/>
      <c r="F15" s="33"/>
      <c r="G15" s="33"/>
      <c r="H15" s="33"/>
      <c r="I15" s="33"/>
      <c r="J15" s="33"/>
      <c r="K15" s="33"/>
      <c r="L15" s="33"/>
      <c r="M15" s="35">
        <v>21.87</v>
      </c>
      <c r="N15" s="33">
        <v>108</v>
      </c>
      <c r="O15" s="35">
        <f>(M15*80)+(108-80)*(M15*1.5)</f>
        <v>2668.1400000000003</v>
      </c>
      <c r="P15" s="35"/>
      <c r="Q15" s="35">
        <f t="shared" si="3"/>
        <v>4002.2100000000005</v>
      </c>
      <c r="R15" s="35"/>
      <c r="T15" s="28"/>
    </row>
    <row r="16" spans="1:21" x14ac:dyDescent="0.3">
      <c r="A16" s="32">
        <v>43427</v>
      </c>
      <c r="B16" s="33" t="s">
        <v>76</v>
      </c>
      <c r="C16" s="34">
        <v>2052</v>
      </c>
      <c r="D16" s="33">
        <v>80</v>
      </c>
      <c r="E16" s="33">
        <v>188</v>
      </c>
      <c r="F16" s="33">
        <v>2080</v>
      </c>
      <c r="G16" s="34">
        <v>216</v>
      </c>
      <c r="H16" s="34">
        <v>0</v>
      </c>
      <c r="I16" s="34">
        <v>2268</v>
      </c>
      <c r="J16" s="34">
        <v>388.71</v>
      </c>
      <c r="K16" s="34">
        <v>2656.71</v>
      </c>
      <c r="L16" s="33" t="s">
        <v>14</v>
      </c>
      <c r="M16" s="34">
        <f t="shared" ref="M16:M30" si="4">(E16+F16)/N16</f>
        <v>19.894736842105264</v>
      </c>
      <c r="N16" s="27">
        <v>114</v>
      </c>
      <c r="O16" s="34">
        <f>((N16-80)*M16)*0.5</f>
        <v>338.21052631578948</v>
      </c>
      <c r="P16" s="35">
        <f t="shared" ref="P16:P47" si="5">ROUND(((ROUNDDOWN(($T$1-A16)/30,0))/100)*O16,2)</f>
        <v>71.02</v>
      </c>
      <c r="Q16" s="34">
        <f t="shared" si="3"/>
        <v>507.31578947368422</v>
      </c>
      <c r="R16" s="35">
        <v>409.55</v>
      </c>
    </row>
    <row r="17" spans="1:19" x14ac:dyDescent="0.3">
      <c r="A17" s="32">
        <v>43441</v>
      </c>
      <c r="B17" s="33" t="s">
        <v>76</v>
      </c>
      <c r="C17" s="34">
        <v>856</v>
      </c>
      <c r="D17" s="36">
        <v>52</v>
      </c>
      <c r="E17" s="33">
        <v>29.33</v>
      </c>
      <c r="F17" s="33">
        <v>1440</v>
      </c>
      <c r="G17" s="34">
        <v>173.33</v>
      </c>
      <c r="H17" s="34">
        <v>440</v>
      </c>
      <c r="I17" s="34">
        <v>1469.33</v>
      </c>
      <c r="J17" s="34">
        <v>292.27</v>
      </c>
      <c r="K17" s="34">
        <v>1761.6</v>
      </c>
      <c r="L17" s="33" t="s">
        <v>14</v>
      </c>
      <c r="M17" s="34">
        <f t="shared" si="4"/>
        <v>20.407361111111111</v>
      </c>
      <c r="N17" s="27">
        <v>72</v>
      </c>
      <c r="O17" s="38">
        <f>(M17*0.5)*12</f>
        <v>122.44416666666666</v>
      </c>
      <c r="P17" s="35">
        <f t="shared" si="5"/>
        <v>25.71</v>
      </c>
      <c r="Q17" s="34">
        <f t="shared" si="3"/>
        <v>183.66624999999999</v>
      </c>
      <c r="R17" s="35"/>
    </row>
    <row r="18" spans="1:19" x14ac:dyDescent="0.3">
      <c r="A18" s="32">
        <v>43455</v>
      </c>
      <c r="B18" s="33" t="s">
        <v>76</v>
      </c>
      <c r="C18" s="34">
        <v>1463</v>
      </c>
      <c r="D18" s="33">
        <v>80</v>
      </c>
      <c r="E18" s="33">
        <v>157.31</v>
      </c>
      <c r="F18" s="33">
        <v>1520</v>
      </c>
      <c r="G18" s="34">
        <v>214.31</v>
      </c>
      <c r="H18" s="34">
        <v>0</v>
      </c>
      <c r="I18" s="34">
        <v>1677.31</v>
      </c>
      <c r="J18" s="34">
        <v>329.29</v>
      </c>
      <c r="K18" s="34">
        <v>2006.6</v>
      </c>
      <c r="L18" s="33" t="s">
        <v>14</v>
      </c>
      <c r="M18" s="34">
        <f t="shared" si="4"/>
        <v>20.966374999999999</v>
      </c>
      <c r="N18" s="27">
        <v>80</v>
      </c>
      <c r="O18" s="34">
        <f t="shared" ref="O18:O27" si="6">((N18-80)*M18)*0.5</f>
        <v>0</v>
      </c>
      <c r="P18" s="35">
        <f t="shared" si="5"/>
        <v>0</v>
      </c>
      <c r="Q18" s="34">
        <f t="shared" si="3"/>
        <v>0</v>
      </c>
      <c r="R18" s="35"/>
    </row>
    <row r="19" spans="1:19" x14ac:dyDescent="0.3">
      <c r="A19" s="32">
        <v>43469</v>
      </c>
      <c r="B19" s="33" t="s">
        <v>76</v>
      </c>
      <c r="C19" s="34">
        <v>1108</v>
      </c>
      <c r="D19" s="33">
        <v>80</v>
      </c>
      <c r="E19" s="33">
        <v>23.67</v>
      </c>
      <c r="F19" s="33">
        <v>1760</v>
      </c>
      <c r="G19" s="34">
        <v>235.67</v>
      </c>
      <c r="H19" s="34">
        <v>440</v>
      </c>
      <c r="I19" s="34">
        <v>1783.67</v>
      </c>
      <c r="J19" s="34">
        <v>339.98</v>
      </c>
      <c r="K19" s="34">
        <v>2123.65</v>
      </c>
      <c r="L19" s="33" t="s">
        <v>14</v>
      </c>
      <c r="M19" s="34">
        <f t="shared" si="4"/>
        <v>20.740348837209304</v>
      </c>
      <c r="N19" s="27">
        <v>86</v>
      </c>
      <c r="O19" s="34">
        <f t="shared" si="6"/>
        <v>62.221046511627911</v>
      </c>
      <c r="P19" s="35">
        <f t="shared" si="5"/>
        <v>12.44</v>
      </c>
      <c r="Q19" s="34">
        <f t="shared" si="3"/>
        <v>93.331569767441863</v>
      </c>
      <c r="R19" s="35"/>
    </row>
    <row r="20" spans="1:19" x14ac:dyDescent="0.3">
      <c r="A20" s="37" t="s">
        <v>77</v>
      </c>
      <c r="B20" s="33" t="s">
        <v>76</v>
      </c>
      <c r="C20" s="34">
        <v>1872</v>
      </c>
      <c r="D20" s="33">
        <v>80</v>
      </c>
      <c r="E20" s="33">
        <v>0</v>
      </c>
      <c r="F20" s="33">
        <v>2080</v>
      </c>
      <c r="G20" s="34">
        <v>208</v>
      </c>
      <c r="H20" s="34">
        <v>0</v>
      </c>
      <c r="I20" s="34">
        <v>2080</v>
      </c>
      <c r="J20" s="34">
        <v>369.79</v>
      </c>
      <c r="K20" s="34">
        <v>2449.79</v>
      </c>
      <c r="L20" s="33" t="s">
        <v>14</v>
      </c>
      <c r="M20" s="34">
        <f t="shared" si="4"/>
        <v>18.90909090909091</v>
      </c>
      <c r="N20" s="27">
        <v>110</v>
      </c>
      <c r="O20" s="34">
        <f t="shared" si="6"/>
        <v>283.63636363636363</v>
      </c>
      <c r="P20" s="35" t="e">
        <f t="shared" si="5"/>
        <v>#VALUE!</v>
      </c>
      <c r="Q20" s="34">
        <f t="shared" si="3"/>
        <v>425.45454545454544</v>
      </c>
      <c r="R20" s="35"/>
    </row>
    <row r="21" spans="1:19" x14ac:dyDescent="0.3">
      <c r="A21" s="32">
        <v>43497</v>
      </c>
      <c r="B21" s="33" t="s">
        <v>76</v>
      </c>
      <c r="C21" s="34">
        <v>1640</v>
      </c>
      <c r="D21" s="33">
        <v>80</v>
      </c>
      <c r="E21" s="33">
        <v>362.29</v>
      </c>
      <c r="F21" s="33">
        <v>2080</v>
      </c>
      <c r="G21" s="34">
        <v>362.29</v>
      </c>
      <c r="H21" s="34">
        <v>440</v>
      </c>
      <c r="I21" s="34">
        <v>2442.29</v>
      </c>
      <c r="J21" s="34">
        <v>406.25</v>
      </c>
      <c r="K21" s="34">
        <v>2848.54</v>
      </c>
      <c r="L21" s="33" t="s">
        <v>14</v>
      </c>
      <c r="M21" s="34">
        <f t="shared" si="4"/>
        <v>22.202636363636362</v>
      </c>
      <c r="N21" s="27">
        <v>110</v>
      </c>
      <c r="O21" s="34">
        <f t="shared" si="6"/>
        <v>333.03954545454542</v>
      </c>
      <c r="P21" s="35">
        <f t="shared" si="5"/>
        <v>63.28</v>
      </c>
      <c r="Q21" s="34">
        <f t="shared" si="3"/>
        <v>499.55931818181813</v>
      </c>
      <c r="R21" s="35"/>
    </row>
    <row r="22" spans="1:19" x14ac:dyDescent="0.3">
      <c r="A22" s="32">
        <v>43511</v>
      </c>
      <c r="B22" s="33" t="s">
        <v>76</v>
      </c>
      <c r="C22" s="34">
        <v>1665</v>
      </c>
      <c r="D22" s="33">
        <v>80</v>
      </c>
      <c r="E22" s="33">
        <v>208.31</v>
      </c>
      <c r="F22" s="33">
        <v>1890</v>
      </c>
      <c r="G22" s="34">
        <v>208.31</v>
      </c>
      <c r="H22" s="34">
        <v>225</v>
      </c>
      <c r="I22" s="34">
        <v>2098.31</v>
      </c>
      <c r="J22" s="34">
        <v>363.19</v>
      </c>
      <c r="K22" s="34">
        <v>2461.5</v>
      </c>
      <c r="L22" s="33" t="s">
        <v>14</v>
      </c>
      <c r="M22" s="34">
        <f t="shared" si="4"/>
        <v>21.08854271356784</v>
      </c>
      <c r="N22" s="27">
        <v>99.5</v>
      </c>
      <c r="O22" s="34">
        <f t="shared" si="6"/>
        <v>205.61329145728644</v>
      </c>
      <c r="P22" s="35">
        <f t="shared" si="5"/>
        <v>37.01</v>
      </c>
      <c r="Q22" s="34">
        <f t="shared" si="3"/>
        <v>308.41993718592965</v>
      </c>
      <c r="R22" s="35"/>
    </row>
    <row r="23" spans="1:19" x14ac:dyDescent="0.3">
      <c r="A23" s="32">
        <v>43523</v>
      </c>
      <c r="B23" s="33" t="s">
        <v>76</v>
      </c>
      <c r="C23" s="34">
        <v>1814</v>
      </c>
      <c r="D23" s="33">
        <v>0</v>
      </c>
      <c r="E23" s="33">
        <v>1814</v>
      </c>
      <c r="F23" s="33">
        <v>0</v>
      </c>
      <c r="G23" s="34">
        <v>243.14</v>
      </c>
      <c r="H23" s="34">
        <v>0</v>
      </c>
      <c r="I23" s="34">
        <v>2057.14</v>
      </c>
      <c r="J23" s="34">
        <v>194.61</v>
      </c>
      <c r="K23" s="34">
        <v>2251.75</v>
      </c>
      <c r="L23" s="33" t="s">
        <v>14</v>
      </c>
      <c r="M23" s="34">
        <f t="shared" si="4"/>
        <v>18.994764397905758</v>
      </c>
      <c r="N23" s="27">
        <v>95.5</v>
      </c>
      <c r="O23" s="34">
        <f t="shared" si="6"/>
        <v>147.20942408376962</v>
      </c>
      <c r="P23" s="35">
        <f t="shared" si="5"/>
        <v>26.5</v>
      </c>
      <c r="Q23" s="34">
        <f t="shared" si="3"/>
        <v>220.81413612565444</v>
      </c>
      <c r="R23" s="35"/>
    </row>
    <row r="24" spans="1:19" x14ac:dyDescent="0.3">
      <c r="A24" s="32">
        <v>43539</v>
      </c>
      <c r="B24" s="33" t="s">
        <v>76</v>
      </c>
      <c r="C24" s="34">
        <v>1890</v>
      </c>
      <c r="D24" s="33">
        <v>80</v>
      </c>
      <c r="E24" s="33">
        <v>125.05</v>
      </c>
      <c r="F24" s="33">
        <v>2080</v>
      </c>
      <c r="G24" s="34">
        <v>315.05</v>
      </c>
      <c r="H24" s="34">
        <v>0</v>
      </c>
      <c r="I24" s="34">
        <v>2205.0500000000002</v>
      </c>
      <c r="J24" s="34">
        <v>369.13</v>
      </c>
      <c r="K24" s="34">
        <v>2574.1799999999998</v>
      </c>
      <c r="L24" s="33" t="s">
        <v>14</v>
      </c>
      <c r="M24" s="34">
        <f t="shared" si="4"/>
        <v>22.161306532663318</v>
      </c>
      <c r="N24" s="27">
        <v>99.5</v>
      </c>
      <c r="O24" s="34">
        <f t="shared" si="6"/>
        <v>216.07273869346736</v>
      </c>
      <c r="P24" s="35">
        <f t="shared" si="5"/>
        <v>36.729999999999997</v>
      </c>
      <c r="Q24" s="34">
        <f t="shared" si="3"/>
        <v>324.10910804020102</v>
      </c>
      <c r="R24" s="35"/>
    </row>
    <row r="25" spans="1:19" x14ac:dyDescent="0.3">
      <c r="A25" s="32">
        <v>43553</v>
      </c>
      <c r="B25" s="33" t="s">
        <v>76</v>
      </c>
      <c r="C25" s="34">
        <v>1748</v>
      </c>
      <c r="D25" s="33">
        <v>75</v>
      </c>
      <c r="E25" s="33">
        <v>0</v>
      </c>
      <c r="F25" s="33">
        <v>1950</v>
      </c>
      <c r="G25" s="34">
        <v>202</v>
      </c>
      <c r="H25" s="34">
        <v>0</v>
      </c>
      <c r="I25" s="34">
        <v>1950</v>
      </c>
      <c r="J25" s="34">
        <v>334.97</v>
      </c>
      <c r="K25" s="34">
        <v>2284.9699999999998</v>
      </c>
      <c r="L25" s="33" t="s">
        <v>14</v>
      </c>
      <c r="M25" s="34">
        <f t="shared" si="4"/>
        <v>21.195652173913043</v>
      </c>
      <c r="N25" s="27">
        <v>92</v>
      </c>
      <c r="O25" s="34">
        <f t="shared" si="6"/>
        <v>127.17391304347825</v>
      </c>
      <c r="P25" s="35">
        <f t="shared" si="5"/>
        <v>21.62</v>
      </c>
      <c r="Q25" s="34">
        <f t="shared" si="3"/>
        <v>190.76086956521738</v>
      </c>
      <c r="R25" s="35"/>
    </row>
    <row r="26" spans="1:19" x14ac:dyDescent="0.3">
      <c r="A26" s="32">
        <v>43567</v>
      </c>
      <c r="B26" s="33" t="s">
        <v>76</v>
      </c>
      <c r="C26" s="34">
        <v>1748</v>
      </c>
      <c r="D26" s="33">
        <v>80</v>
      </c>
      <c r="E26" s="33">
        <v>0</v>
      </c>
      <c r="F26" s="33">
        <v>2080</v>
      </c>
      <c r="G26" s="34">
        <v>332</v>
      </c>
      <c r="H26" s="34">
        <v>0</v>
      </c>
      <c r="I26" s="34">
        <v>2080</v>
      </c>
      <c r="J26" s="34">
        <v>357.31</v>
      </c>
      <c r="K26" s="34">
        <v>2437.31</v>
      </c>
      <c r="L26" s="33" t="s">
        <v>14</v>
      </c>
      <c r="M26" s="34">
        <f t="shared" si="4"/>
        <v>22.857142857142858</v>
      </c>
      <c r="N26" s="27">
        <v>91</v>
      </c>
      <c r="O26" s="34">
        <f t="shared" si="6"/>
        <v>125.71428571428572</v>
      </c>
      <c r="P26" s="35">
        <f t="shared" si="5"/>
        <v>20.11</v>
      </c>
      <c r="Q26" s="34">
        <f t="shared" si="3"/>
        <v>188.57142857142858</v>
      </c>
      <c r="R26" s="35"/>
    </row>
    <row r="27" spans="1:19" x14ac:dyDescent="0.3">
      <c r="A27" s="32">
        <v>43581</v>
      </c>
      <c r="B27" s="33" t="s">
        <v>76</v>
      </c>
      <c r="C27" s="34">
        <v>1672</v>
      </c>
      <c r="D27" s="33">
        <v>80</v>
      </c>
      <c r="E27" s="33">
        <v>0</v>
      </c>
      <c r="F27" s="33">
        <v>2080</v>
      </c>
      <c r="G27" s="34">
        <v>408</v>
      </c>
      <c r="H27" s="34">
        <v>0</v>
      </c>
      <c r="I27" s="34">
        <v>2080</v>
      </c>
      <c r="J27" s="34">
        <v>353.77</v>
      </c>
      <c r="K27" s="34">
        <v>2433.77</v>
      </c>
      <c r="L27" s="33" t="s">
        <v>14</v>
      </c>
      <c r="M27" s="34">
        <f t="shared" si="4"/>
        <v>23.636363636363637</v>
      </c>
      <c r="N27" s="27">
        <v>88</v>
      </c>
      <c r="O27" s="34">
        <f t="shared" si="6"/>
        <v>94.545454545454547</v>
      </c>
      <c r="P27" s="35">
        <f t="shared" si="5"/>
        <v>15.13</v>
      </c>
      <c r="Q27" s="34">
        <f t="shared" si="3"/>
        <v>141.81818181818181</v>
      </c>
      <c r="R27" s="35"/>
    </row>
    <row r="28" spans="1:19" x14ac:dyDescent="0.3">
      <c r="A28" s="32">
        <v>43595</v>
      </c>
      <c r="B28" s="33" t="s">
        <v>76</v>
      </c>
      <c r="C28" s="34">
        <v>1263</v>
      </c>
      <c r="D28" s="36">
        <v>58.5</v>
      </c>
      <c r="E28" s="33">
        <v>0</v>
      </c>
      <c r="F28" s="33">
        <v>2080</v>
      </c>
      <c r="G28" s="34">
        <v>817</v>
      </c>
      <c r="H28" s="34">
        <v>0</v>
      </c>
      <c r="I28" s="34">
        <v>2080</v>
      </c>
      <c r="J28" s="34">
        <v>353.78</v>
      </c>
      <c r="K28" s="34">
        <v>2433.7800000000002</v>
      </c>
      <c r="L28" s="33" t="s">
        <v>14</v>
      </c>
      <c r="M28" s="34">
        <f t="shared" si="4"/>
        <v>31.278195488721803</v>
      </c>
      <c r="N28" s="27">
        <v>66.5</v>
      </c>
      <c r="O28" s="38">
        <f>(M28*0.5)*18.5</f>
        <v>289.32330827067665</v>
      </c>
      <c r="P28" s="35">
        <f t="shared" si="5"/>
        <v>46.29</v>
      </c>
      <c r="Q28" s="34">
        <f t="shared" si="3"/>
        <v>433.98496240601497</v>
      </c>
      <c r="R28" s="35"/>
    </row>
    <row r="29" spans="1:19" x14ac:dyDescent="0.3">
      <c r="A29" s="37" t="s">
        <v>77</v>
      </c>
      <c r="B29" s="33" t="s">
        <v>78</v>
      </c>
      <c r="C29" s="34">
        <v>1008.2</v>
      </c>
      <c r="D29" s="33">
        <v>80</v>
      </c>
      <c r="E29" s="33"/>
      <c r="F29" s="33"/>
      <c r="G29" s="34">
        <v>191.8</v>
      </c>
      <c r="H29" s="34">
        <v>0</v>
      </c>
      <c r="I29" s="34">
        <v>1200</v>
      </c>
      <c r="J29" s="34">
        <v>281.26</v>
      </c>
      <c r="K29" s="34">
        <v>1481.26</v>
      </c>
      <c r="L29" s="33"/>
      <c r="M29" s="34" t="e">
        <f t="shared" si="4"/>
        <v>#DIV/0!</v>
      </c>
      <c r="N29" s="27"/>
      <c r="O29" s="34" t="e">
        <f>((N29-80)*M29)*0.5</f>
        <v>#DIV/0!</v>
      </c>
      <c r="P29" s="35" t="e">
        <f t="shared" si="5"/>
        <v>#VALUE!</v>
      </c>
      <c r="Q29" s="34" t="e">
        <f t="shared" si="3"/>
        <v>#DIV/0!</v>
      </c>
      <c r="R29" s="35">
        <v>409.55</v>
      </c>
    </row>
    <row r="30" spans="1:19" x14ac:dyDescent="0.3">
      <c r="A30" s="37" t="s">
        <v>77</v>
      </c>
      <c r="B30" s="33" t="s">
        <v>78</v>
      </c>
      <c r="C30" s="34">
        <v>1008.2</v>
      </c>
      <c r="D30" s="33">
        <v>80</v>
      </c>
      <c r="E30" s="33"/>
      <c r="F30" s="33"/>
      <c r="G30" s="34">
        <v>191.8</v>
      </c>
      <c r="H30" s="34">
        <v>0</v>
      </c>
      <c r="I30" s="34">
        <v>1200</v>
      </c>
      <c r="J30" s="34">
        <v>281.26</v>
      </c>
      <c r="K30" s="34">
        <v>1481.26</v>
      </c>
      <c r="L30" s="33"/>
      <c r="M30" s="34" t="e">
        <f t="shared" si="4"/>
        <v>#DIV/0!</v>
      </c>
      <c r="N30" s="27"/>
      <c r="O30" s="34" t="e">
        <f>((N30-80)*M30)*0.5</f>
        <v>#DIV/0!</v>
      </c>
      <c r="P30" s="35" t="e">
        <f t="shared" si="5"/>
        <v>#VALUE!</v>
      </c>
      <c r="Q30" s="34" t="e">
        <f t="shared" si="3"/>
        <v>#DIV/0!</v>
      </c>
      <c r="R30" s="35"/>
    </row>
    <row r="31" spans="1:19" x14ac:dyDescent="0.3">
      <c r="A31" s="37">
        <v>43715</v>
      </c>
      <c r="B31" s="36" t="s">
        <v>79</v>
      </c>
      <c r="C31" s="34"/>
      <c r="D31" s="31">
        <v>107.5</v>
      </c>
      <c r="E31" s="33"/>
      <c r="F31" s="33"/>
      <c r="G31" s="34"/>
      <c r="H31" s="34"/>
      <c r="I31" s="34"/>
      <c r="J31" s="34"/>
      <c r="K31" s="34"/>
      <c r="L31" s="33"/>
      <c r="M31" s="46"/>
      <c r="N31" s="27"/>
      <c r="O31" s="34">
        <f>((N31-80)*M31)*0.5</f>
        <v>0</v>
      </c>
      <c r="P31" s="35">
        <f t="shared" si="5"/>
        <v>0</v>
      </c>
      <c r="Q31" s="34">
        <f t="shared" si="3"/>
        <v>0</v>
      </c>
      <c r="R31" s="35"/>
    </row>
    <row r="32" spans="1:19" x14ac:dyDescent="0.3">
      <c r="A32" s="32">
        <v>43511</v>
      </c>
      <c r="B32" s="33" t="s">
        <v>80</v>
      </c>
      <c r="C32" s="34">
        <v>1591</v>
      </c>
      <c r="D32" s="33">
        <v>80</v>
      </c>
      <c r="E32" s="33">
        <v>199.83</v>
      </c>
      <c r="F32" s="33">
        <v>1791</v>
      </c>
      <c r="G32" s="34">
        <v>199.83</v>
      </c>
      <c r="H32" s="34">
        <v>200</v>
      </c>
      <c r="I32" s="34">
        <v>1990.83</v>
      </c>
      <c r="J32" s="34">
        <v>360.82</v>
      </c>
      <c r="K32" s="34">
        <v>2351.65</v>
      </c>
      <c r="L32" s="33">
        <v>100152</v>
      </c>
      <c r="M32" s="34">
        <f t="shared" ref="M32:M44" si="7">(E32+F32)/N32</f>
        <v>20.008341708542712</v>
      </c>
      <c r="N32" s="27">
        <v>99.5</v>
      </c>
      <c r="O32" s="34">
        <f>((N32-80)*M32)*0.5</f>
        <v>195.08133165829145</v>
      </c>
      <c r="P32" s="35">
        <f t="shared" si="5"/>
        <v>35.11</v>
      </c>
      <c r="Q32" s="34">
        <f t="shared" si="3"/>
        <v>292.62199748743717</v>
      </c>
      <c r="R32" s="35">
        <v>409.55</v>
      </c>
      <c r="S32">
        <v>20.57</v>
      </c>
    </row>
    <row r="33" spans="1:18" x14ac:dyDescent="0.3">
      <c r="A33" s="32">
        <v>43525</v>
      </c>
      <c r="B33" s="33" t="s">
        <v>80</v>
      </c>
      <c r="C33" s="34">
        <v>1171</v>
      </c>
      <c r="D33" s="33">
        <v>80</v>
      </c>
      <c r="E33" s="33">
        <v>184.39</v>
      </c>
      <c r="F33" s="33">
        <v>1611</v>
      </c>
      <c r="G33" s="34">
        <v>184.39</v>
      </c>
      <c r="H33" s="34">
        <v>440</v>
      </c>
      <c r="I33" s="34">
        <v>1795.39</v>
      </c>
      <c r="J33" s="34">
        <v>341.16</v>
      </c>
      <c r="K33" s="34">
        <v>2136.5500000000002</v>
      </c>
      <c r="L33" s="33">
        <v>100162</v>
      </c>
      <c r="M33" s="34">
        <f t="shared" si="7"/>
        <v>20.060223463687148</v>
      </c>
      <c r="N33" s="27">
        <v>89.5</v>
      </c>
      <c r="O33" s="34">
        <f>((N33-80)*M33)*0.5</f>
        <v>95.286061452513948</v>
      </c>
      <c r="P33" s="35">
        <f t="shared" si="5"/>
        <v>17.149999999999999</v>
      </c>
      <c r="Q33" s="34">
        <f t="shared" si="3"/>
        <v>142.92909217877093</v>
      </c>
      <c r="R33" s="35"/>
    </row>
    <row r="34" spans="1:18" x14ac:dyDescent="0.3">
      <c r="A34" s="32">
        <v>43539</v>
      </c>
      <c r="B34" s="33" t="s">
        <v>80</v>
      </c>
      <c r="C34" s="34">
        <v>785</v>
      </c>
      <c r="D34" s="36">
        <v>46</v>
      </c>
      <c r="E34" s="33">
        <v>320.07</v>
      </c>
      <c r="F34" s="33">
        <v>1395</v>
      </c>
      <c r="G34" s="34">
        <v>320.07</v>
      </c>
      <c r="H34" s="34">
        <v>610</v>
      </c>
      <c r="I34" s="34">
        <v>1715.07</v>
      </c>
      <c r="J34" s="34">
        <v>333.07</v>
      </c>
      <c r="K34" s="34">
        <v>2048.14</v>
      </c>
      <c r="L34" s="33" t="s">
        <v>14</v>
      </c>
      <c r="M34" s="34">
        <f t="shared" si="7"/>
        <v>22.129935483870966</v>
      </c>
      <c r="N34" s="27">
        <v>77.5</v>
      </c>
      <c r="O34" s="38">
        <f>(M34*0.5)*6</f>
        <v>66.389806451612898</v>
      </c>
      <c r="P34" s="35">
        <f t="shared" si="5"/>
        <v>11.29</v>
      </c>
      <c r="Q34" s="34">
        <f t="shared" si="3"/>
        <v>99.58470967741934</v>
      </c>
      <c r="R34" s="35"/>
    </row>
    <row r="35" spans="1:18" x14ac:dyDescent="0.3">
      <c r="A35" s="32">
        <v>43553</v>
      </c>
      <c r="B35" s="33" t="s">
        <v>80</v>
      </c>
      <c r="C35" s="34">
        <v>1090</v>
      </c>
      <c r="D35" s="36">
        <v>46</v>
      </c>
      <c r="E35" s="33">
        <v>353.63</v>
      </c>
      <c r="F35" s="33">
        <v>1530</v>
      </c>
      <c r="G35" s="34">
        <v>353.63</v>
      </c>
      <c r="H35" s="34">
        <v>440</v>
      </c>
      <c r="I35" s="34">
        <v>1883.63</v>
      </c>
      <c r="J35" s="34">
        <v>347.73</v>
      </c>
      <c r="K35" s="34">
        <v>2231.36</v>
      </c>
      <c r="L35" s="33" t="s">
        <v>14</v>
      </c>
      <c r="M35" s="34">
        <f t="shared" si="7"/>
        <v>22.160352941176473</v>
      </c>
      <c r="N35" s="27">
        <v>85</v>
      </c>
      <c r="O35" s="38">
        <f>(M35*0.5)*6</f>
        <v>66.481058823529423</v>
      </c>
      <c r="P35" s="35">
        <f t="shared" si="5"/>
        <v>11.3</v>
      </c>
      <c r="Q35" s="34">
        <f t="shared" si="3"/>
        <v>99.721588235294135</v>
      </c>
      <c r="R35" s="35"/>
    </row>
    <row r="36" spans="1:18" x14ac:dyDescent="0.3">
      <c r="A36" s="32">
        <v>43567</v>
      </c>
      <c r="B36" s="33" t="s">
        <v>80</v>
      </c>
      <c r="C36" s="34">
        <v>1084</v>
      </c>
      <c r="D36" s="33">
        <v>80</v>
      </c>
      <c r="E36" s="33">
        <v>367.04</v>
      </c>
      <c r="F36" s="33">
        <v>1584</v>
      </c>
      <c r="G36" s="34">
        <v>367.04</v>
      </c>
      <c r="H36" s="34">
        <v>500</v>
      </c>
      <c r="I36" s="34">
        <v>1951.04</v>
      </c>
      <c r="J36" s="34">
        <v>345.1</v>
      </c>
      <c r="K36" s="34">
        <v>2296.14</v>
      </c>
      <c r="L36" s="33" t="s">
        <v>14</v>
      </c>
      <c r="M36" s="34">
        <f t="shared" si="7"/>
        <v>22.170909090909092</v>
      </c>
      <c r="N36" s="27">
        <v>88</v>
      </c>
      <c r="O36" s="34">
        <f t="shared" ref="O36:O42" si="8">((N36-80)*M36)*0.5</f>
        <v>88.683636363636367</v>
      </c>
      <c r="P36" s="35">
        <f t="shared" si="5"/>
        <v>14.19</v>
      </c>
      <c r="Q36" s="34">
        <f t="shared" si="3"/>
        <v>133.02545454545455</v>
      </c>
      <c r="R36" s="35"/>
    </row>
    <row r="37" spans="1:18" x14ac:dyDescent="0.3">
      <c r="A37" s="32">
        <v>43581</v>
      </c>
      <c r="B37" s="33" t="s">
        <v>80</v>
      </c>
      <c r="C37" s="34">
        <v>1638</v>
      </c>
      <c r="D37" s="33">
        <v>80</v>
      </c>
      <c r="E37" s="33">
        <v>384.87</v>
      </c>
      <c r="F37" s="33">
        <v>1638</v>
      </c>
      <c r="G37" s="34">
        <v>384.87</v>
      </c>
      <c r="H37" s="34">
        <v>0</v>
      </c>
      <c r="I37" s="34">
        <v>2022.87</v>
      </c>
      <c r="J37" s="34">
        <v>348.46</v>
      </c>
      <c r="K37" s="34">
        <v>2371.33</v>
      </c>
      <c r="L37" s="33" t="s">
        <v>14</v>
      </c>
      <c r="M37" s="34">
        <f t="shared" si="7"/>
        <v>22.229340659340657</v>
      </c>
      <c r="N37" s="27">
        <v>91</v>
      </c>
      <c r="O37" s="34">
        <f t="shared" si="8"/>
        <v>122.26137362637361</v>
      </c>
      <c r="P37" s="35">
        <f t="shared" si="5"/>
        <v>19.559999999999999</v>
      </c>
      <c r="Q37" s="34">
        <f t="shared" si="3"/>
        <v>183.39206043956042</v>
      </c>
      <c r="R37" s="35"/>
    </row>
    <row r="38" spans="1:18" x14ac:dyDescent="0.3">
      <c r="A38" s="32">
        <v>43595</v>
      </c>
      <c r="B38" s="33" t="s">
        <v>80</v>
      </c>
      <c r="C38" s="34">
        <v>1692</v>
      </c>
      <c r="D38" s="33">
        <v>80</v>
      </c>
      <c r="E38" s="33">
        <v>407.9</v>
      </c>
      <c r="F38" s="33">
        <v>1692</v>
      </c>
      <c r="G38" s="34">
        <v>407.9</v>
      </c>
      <c r="H38" s="34">
        <v>0</v>
      </c>
      <c r="I38" s="34">
        <v>2099.9</v>
      </c>
      <c r="J38" s="34">
        <v>355.62</v>
      </c>
      <c r="K38" s="34">
        <v>2455.52</v>
      </c>
      <c r="L38" s="33" t="s">
        <v>14</v>
      </c>
      <c r="M38" s="34">
        <f t="shared" si="7"/>
        <v>22.339361702127661</v>
      </c>
      <c r="N38" s="27">
        <v>94</v>
      </c>
      <c r="O38" s="34">
        <f t="shared" si="8"/>
        <v>156.37553191489363</v>
      </c>
      <c r="P38" s="35">
        <f t="shared" si="5"/>
        <v>25.02</v>
      </c>
      <c r="Q38" s="34">
        <f t="shared" si="3"/>
        <v>234.56329787234046</v>
      </c>
      <c r="R38" s="35"/>
    </row>
    <row r="39" spans="1:18" x14ac:dyDescent="0.3">
      <c r="A39" s="32">
        <v>43609</v>
      </c>
      <c r="B39" s="33" t="s">
        <v>80</v>
      </c>
      <c r="C39" s="34">
        <v>1243</v>
      </c>
      <c r="D39" s="33">
        <v>80</v>
      </c>
      <c r="E39" s="33">
        <v>404.07</v>
      </c>
      <c r="F39" s="33">
        <v>1683</v>
      </c>
      <c r="G39" s="34">
        <v>404.07</v>
      </c>
      <c r="H39" s="34">
        <v>440</v>
      </c>
      <c r="I39" s="34">
        <v>2087.0700000000002</v>
      </c>
      <c r="J39" s="34">
        <v>354.43</v>
      </c>
      <c r="K39" s="34">
        <v>2441.5</v>
      </c>
      <c r="L39" s="33" t="s">
        <v>14</v>
      </c>
      <c r="M39" s="34">
        <f t="shared" si="7"/>
        <v>19.876857142857144</v>
      </c>
      <c r="N39" s="27">
        <v>105</v>
      </c>
      <c r="O39" s="34">
        <f t="shared" si="8"/>
        <v>248.46071428571429</v>
      </c>
      <c r="P39" s="35">
        <f t="shared" si="5"/>
        <v>37.270000000000003</v>
      </c>
      <c r="Q39" s="34">
        <f t="shared" si="3"/>
        <v>372.69107142857143</v>
      </c>
      <c r="R39" s="35"/>
    </row>
    <row r="40" spans="1:18" x14ac:dyDescent="0.3">
      <c r="A40" s="32">
        <v>43623</v>
      </c>
      <c r="B40" s="33" t="s">
        <v>80</v>
      </c>
      <c r="C40" s="34">
        <v>1512</v>
      </c>
      <c r="D40" s="33">
        <v>80</v>
      </c>
      <c r="E40" s="33">
        <v>349.15</v>
      </c>
      <c r="F40" s="33">
        <v>1512</v>
      </c>
      <c r="G40" s="34">
        <v>349.15</v>
      </c>
      <c r="H40" s="34">
        <v>0</v>
      </c>
      <c r="I40" s="34">
        <v>1861.15</v>
      </c>
      <c r="J40" s="34">
        <v>333.44</v>
      </c>
      <c r="K40" s="34">
        <v>2194.59</v>
      </c>
      <c r="L40" s="33" t="s">
        <v>14</v>
      </c>
      <c r="M40" s="34">
        <f t="shared" si="7"/>
        <v>20.794972067039108</v>
      </c>
      <c r="N40" s="27">
        <v>89.5</v>
      </c>
      <c r="O40" s="34">
        <f t="shared" si="8"/>
        <v>98.776117318435766</v>
      </c>
      <c r="P40" s="35">
        <f t="shared" si="5"/>
        <v>14.82</v>
      </c>
      <c r="Q40" s="34">
        <f t="shared" si="3"/>
        <v>148.16417597765366</v>
      </c>
      <c r="R40" s="35"/>
    </row>
    <row r="41" spans="1:18" x14ac:dyDescent="0.3">
      <c r="A41" s="32">
        <v>43637</v>
      </c>
      <c r="B41" s="33" t="s">
        <v>80</v>
      </c>
      <c r="C41" s="34">
        <v>1549</v>
      </c>
      <c r="D41" s="33">
        <v>80</v>
      </c>
      <c r="E41" s="33">
        <v>272.8</v>
      </c>
      <c r="F41" s="33">
        <v>1989</v>
      </c>
      <c r="G41" s="34">
        <v>272.8</v>
      </c>
      <c r="H41" s="34">
        <v>440</v>
      </c>
      <c r="I41" s="34">
        <v>2261.8000000000002</v>
      </c>
      <c r="J41" s="34">
        <v>370.66</v>
      </c>
      <c r="K41" s="34">
        <v>2632.46</v>
      </c>
      <c r="L41" s="33" t="s">
        <v>14</v>
      </c>
      <c r="M41" s="34">
        <f t="shared" si="7"/>
        <v>20.468778280542988</v>
      </c>
      <c r="N41" s="27">
        <v>110.5</v>
      </c>
      <c r="O41" s="34">
        <f t="shared" si="8"/>
        <v>312.14886877828059</v>
      </c>
      <c r="P41" s="35">
        <f t="shared" si="5"/>
        <v>43.7</v>
      </c>
      <c r="Q41" s="34">
        <f t="shared" si="3"/>
        <v>468.22330316742091</v>
      </c>
      <c r="R41" s="35"/>
    </row>
    <row r="42" spans="1:18" x14ac:dyDescent="0.3">
      <c r="A42" s="32">
        <v>43651</v>
      </c>
      <c r="B42" s="33" t="s">
        <v>80</v>
      </c>
      <c r="C42" s="34">
        <v>1530</v>
      </c>
      <c r="D42" s="33">
        <v>80</v>
      </c>
      <c r="E42" s="33">
        <v>177.42</v>
      </c>
      <c r="F42" s="33">
        <v>1530</v>
      </c>
      <c r="G42" s="34">
        <v>177.42</v>
      </c>
      <c r="H42" s="34">
        <v>0</v>
      </c>
      <c r="I42" s="34">
        <v>1707.42</v>
      </c>
      <c r="J42" s="34">
        <v>319.14999999999998</v>
      </c>
      <c r="K42" s="34">
        <v>2026.57</v>
      </c>
      <c r="L42" s="33" t="s">
        <v>14</v>
      </c>
      <c r="M42" s="34">
        <f t="shared" si="7"/>
        <v>20.087294117647058</v>
      </c>
      <c r="N42" s="27">
        <v>85</v>
      </c>
      <c r="O42" s="34">
        <f t="shared" si="8"/>
        <v>50.218235294117648</v>
      </c>
      <c r="P42" s="35">
        <f t="shared" si="5"/>
        <v>7.03</v>
      </c>
      <c r="Q42" s="34">
        <f t="shared" si="3"/>
        <v>75.327352941176471</v>
      </c>
      <c r="R42" s="35"/>
    </row>
    <row r="43" spans="1:18" x14ac:dyDescent="0.3">
      <c r="A43" s="32">
        <v>43665</v>
      </c>
      <c r="B43" s="33" t="s">
        <v>80</v>
      </c>
      <c r="C43" s="34">
        <v>1458</v>
      </c>
      <c r="D43" s="36">
        <v>49</v>
      </c>
      <c r="E43" s="33">
        <v>171.26</v>
      </c>
      <c r="F43" s="33">
        <v>1458</v>
      </c>
      <c r="G43" s="34">
        <v>171.26</v>
      </c>
      <c r="H43" s="34">
        <v>0</v>
      </c>
      <c r="I43" s="34">
        <v>1629.26</v>
      </c>
      <c r="J43" s="34">
        <v>311.91000000000003</v>
      </c>
      <c r="K43" s="34">
        <v>1941.17</v>
      </c>
      <c r="L43" s="33" t="s">
        <v>14</v>
      </c>
      <c r="M43" s="34">
        <f t="shared" si="7"/>
        <v>20.11432098765432</v>
      </c>
      <c r="N43" s="27">
        <v>81</v>
      </c>
      <c r="O43" s="38">
        <f>(M43*0.5)*9</f>
        <v>90.514444444444436</v>
      </c>
      <c r="P43" s="35">
        <f t="shared" si="5"/>
        <v>11.77</v>
      </c>
      <c r="Q43" s="34">
        <f t="shared" si="3"/>
        <v>135.77166666666665</v>
      </c>
      <c r="R43" s="35"/>
    </row>
    <row r="44" spans="1:18" x14ac:dyDescent="0.3">
      <c r="A44" s="32">
        <v>43679</v>
      </c>
      <c r="B44" s="33" t="s">
        <v>80</v>
      </c>
      <c r="C44" s="34">
        <v>1485</v>
      </c>
      <c r="D44" s="36">
        <v>44.5</v>
      </c>
      <c r="E44" s="33">
        <v>173.56</v>
      </c>
      <c r="F44" s="33">
        <v>1485</v>
      </c>
      <c r="G44" s="34">
        <v>173.57</v>
      </c>
      <c r="H44" s="34">
        <v>-0.01</v>
      </c>
      <c r="I44" s="34">
        <v>1658.56</v>
      </c>
      <c r="J44" s="34">
        <v>314.62</v>
      </c>
      <c r="K44" s="34">
        <v>1973.18</v>
      </c>
      <c r="L44" s="33" t="s">
        <v>14</v>
      </c>
      <c r="M44" s="34">
        <f t="shared" si="7"/>
        <v>20.103757575757577</v>
      </c>
      <c r="N44" s="27">
        <v>82.5</v>
      </c>
      <c r="O44" s="38">
        <f>(M44*0.5)*4.5</f>
        <v>45.233454545454549</v>
      </c>
      <c r="P44" s="35">
        <f t="shared" si="5"/>
        <v>5.88</v>
      </c>
      <c r="Q44" s="34">
        <f t="shared" si="3"/>
        <v>67.850181818181824</v>
      </c>
      <c r="R44" s="35"/>
    </row>
    <row r="45" spans="1:18" x14ac:dyDescent="0.3">
      <c r="A45" s="32">
        <v>43693</v>
      </c>
      <c r="B45" s="33" t="s">
        <v>80</v>
      </c>
      <c r="C45" s="34">
        <v>927</v>
      </c>
      <c r="D45" s="33">
        <v>80</v>
      </c>
      <c r="E45" s="33">
        <v>125.67</v>
      </c>
      <c r="F45" s="33">
        <v>927</v>
      </c>
      <c r="G45" s="34">
        <v>125.67</v>
      </c>
      <c r="H45" s="34">
        <v>0</v>
      </c>
      <c r="I45" s="34">
        <v>1052.67</v>
      </c>
      <c r="J45" s="34">
        <v>258.33</v>
      </c>
      <c r="K45" s="34">
        <v>1311</v>
      </c>
      <c r="L45" s="33" t="s">
        <v>14</v>
      </c>
      <c r="M45" s="38">
        <v>16</v>
      </c>
      <c r="N45" s="27">
        <v>106.5</v>
      </c>
      <c r="O45" s="34">
        <f>((N45-80)*M45)*0.5</f>
        <v>212</v>
      </c>
      <c r="P45" s="35">
        <f t="shared" si="5"/>
        <v>25.44</v>
      </c>
      <c r="Q45" s="34">
        <f t="shared" si="3"/>
        <v>318</v>
      </c>
      <c r="R45" s="35"/>
    </row>
    <row r="46" spans="1:18" x14ac:dyDescent="0.3">
      <c r="A46" s="32">
        <v>43707</v>
      </c>
      <c r="B46" s="33" t="s">
        <v>80</v>
      </c>
      <c r="C46" s="34">
        <v>1872</v>
      </c>
      <c r="D46" s="33">
        <v>80</v>
      </c>
      <c r="E46" s="33">
        <v>247.29</v>
      </c>
      <c r="F46" s="33">
        <v>1872</v>
      </c>
      <c r="G46" s="34">
        <v>247.29</v>
      </c>
      <c r="H46" s="34">
        <v>0</v>
      </c>
      <c r="I46" s="34">
        <v>2119.29</v>
      </c>
      <c r="J46" s="34">
        <v>357.42</v>
      </c>
      <c r="K46" s="34">
        <v>2476.71</v>
      </c>
      <c r="L46" s="33" t="s">
        <v>14</v>
      </c>
      <c r="M46" s="34">
        <f t="shared" ref="M46:M71" si="9">(E46+F46)/N46</f>
        <v>20.377788461538461</v>
      </c>
      <c r="N46" s="27">
        <v>104</v>
      </c>
      <c r="O46" s="34">
        <f>((N46-80)*M46)*0.5</f>
        <v>244.53346153846155</v>
      </c>
      <c r="P46" s="35">
        <f t="shared" si="5"/>
        <v>29.34</v>
      </c>
      <c r="Q46" s="34">
        <f t="shared" ref="Q46:Q71" si="10">O46*1.5</f>
        <v>366.80019230769233</v>
      </c>
      <c r="R46" s="35"/>
    </row>
    <row r="47" spans="1:18" x14ac:dyDescent="0.3">
      <c r="A47" s="32">
        <v>43721</v>
      </c>
      <c r="B47" s="33" t="s">
        <v>80</v>
      </c>
      <c r="C47" s="34">
        <v>900</v>
      </c>
      <c r="D47" s="36">
        <v>50</v>
      </c>
      <c r="E47" s="33">
        <v>106.08</v>
      </c>
      <c r="F47" s="33">
        <v>900</v>
      </c>
      <c r="G47" s="34">
        <v>106.08</v>
      </c>
      <c r="H47" s="34">
        <v>0</v>
      </c>
      <c r="I47" s="34">
        <v>1006.08</v>
      </c>
      <c r="J47" s="34">
        <v>193.81</v>
      </c>
      <c r="K47" s="34">
        <v>1199.8900000000001</v>
      </c>
      <c r="L47" s="33" t="s">
        <v>14</v>
      </c>
      <c r="M47" s="34">
        <f t="shared" si="9"/>
        <v>20.121600000000001</v>
      </c>
      <c r="N47" s="27">
        <v>50</v>
      </c>
      <c r="O47" s="38">
        <f>(M47*0.5)*10</f>
        <v>100.608</v>
      </c>
      <c r="P47" s="35">
        <f t="shared" si="5"/>
        <v>11.07</v>
      </c>
      <c r="Q47" s="34">
        <f t="shared" si="10"/>
        <v>150.91200000000001</v>
      </c>
      <c r="R47" s="35"/>
    </row>
    <row r="48" spans="1:18" x14ac:dyDescent="0.3">
      <c r="A48" s="37" t="s">
        <v>77</v>
      </c>
      <c r="B48" s="33" t="s">
        <v>81</v>
      </c>
      <c r="C48" s="34">
        <v>2217</v>
      </c>
      <c r="D48" s="33">
        <v>80</v>
      </c>
      <c r="E48" s="33">
        <v>0</v>
      </c>
      <c r="F48" s="33">
        <v>2217</v>
      </c>
      <c r="G48" s="34">
        <v>438.59</v>
      </c>
      <c r="H48" s="34">
        <v>0</v>
      </c>
      <c r="I48" s="34">
        <v>2655.59</v>
      </c>
      <c r="J48" s="34">
        <v>379.8</v>
      </c>
      <c r="K48" s="34">
        <v>3035.39</v>
      </c>
      <c r="L48" s="33" t="s">
        <v>14</v>
      </c>
      <c r="M48" s="34" t="e">
        <f t="shared" si="9"/>
        <v>#DIV/0!</v>
      </c>
      <c r="N48" s="27"/>
      <c r="O48" s="34" t="e">
        <f t="shared" ref="O48:O71" si="11">((N48-80)*M48)*0.5</f>
        <v>#DIV/0!</v>
      </c>
      <c r="P48" s="35" t="e">
        <f t="shared" ref="P48:P79" si="12">ROUND(((ROUNDDOWN(($T$1-A48)/30,0))/100)*O48,2)</f>
        <v>#VALUE!</v>
      </c>
      <c r="Q48" s="34" t="e">
        <f t="shared" si="10"/>
        <v>#DIV/0!</v>
      </c>
      <c r="R48" s="35">
        <v>409.55</v>
      </c>
    </row>
    <row r="49" spans="1:18" x14ac:dyDescent="0.3">
      <c r="A49" s="37" t="s">
        <v>77</v>
      </c>
      <c r="B49" s="33" t="s">
        <v>81</v>
      </c>
      <c r="C49" s="34">
        <v>1696</v>
      </c>
      <c r="D49" s="33">
        <v>80</v>
      </c>
      <c r="E49" s="33">
        <v>0</v>
      </c>
      <c r="F49" s="33">
        <v>1746</v>
      </c>
      <c r="G49" s="34">
        <v>316.35000000000002</v>
      </c>
      <c r="H49" s="34">
        <v>50</v>
      </c>
      <c r="I49" s="34">
        <v>2062.35</v>
      </c>
      <c r="J49" s="34">
        <v>285.10000000000002</v>
      </c>
      <c r="K49" s="34">
        <v>2347.4499999999998</v>
      </c>
      <c r="L49" s="33" t="s">
        <v>14</v>
      </c>
      <c r="M49" s="34" t="e">
        <f t="shared" si="9"/>
        <v>#DIV/0!</v>
      </c>
      <c r="N49" s="27"/>
      <c r="O49" s="34" t="e">
        <f t="shared" si="11"/>
        <v>#DIV/0!</v>
      </c>
      <c r="P49" s="35" t="e">
        <f t="shared" si="12"/>
        <v>#VALUE!</v>
      </c>
      <c r="Q49" s="34" t="e">
        <f t="shared" si="10"/>
        <v>#DIV/0!</v>
      </c>
      <c r="R49" s="35"/>
    </row>
    <row r="50" spans="1:18" x14ac:dyDescent="0.3">
      <c r="A50" s="37" t="s">
        <v>77</v>
      </c>
      <c r="B50" s="33" t="s">
        <v>81</v>
      </c>
      <c r="C50" s="34">
        <v>1795</v>
      </c>
      <c r="D50" s="33">
        <v>80</v>
      </c>
      <c r="E50" s="33">
        <v>0</v>
      </c>
      <c r="F50" s="33">
        <v>1845</v>
      </c>
      <c r="G50" s="34">
        <v>336.06</v>
      </c>
      <c r="H50" s="34">
        <v>50</v>
      </c>
      <c r="I50" s="34">
        <v>2181.06</v>
      </c>
      <c r="J50" s="34">
        <v>294.89999999999998</v>
      </c>
      <c r="K50" s="34">
        <v>2475.96</v>
      </c>
      <c r="L50" s="33" t="s">
        <v>14</v>
      </c>
      <c r="M50" s="34" t="e">
        <f t="shared" si="9"/>
        <v>#DIV/0!</v>
      </c>
      <c r="N50" s="27"/>
      <c r="O50" s="34" t="e">
        <f t="shared" si="11"/>
        <v>#DIV/0!</v>
      </c>
      <c r="P50" s="35" t="e">
        <f t="shared" si="12"/>
        <v>#VALUE!</v>
      </c>
      <c r="Q50" s="34" t="e">
        <f t="shared" si="10"/>
        <v>#DIV/0!</v>
      </c>
      <c r="R50" s="35"/>
    </row>
    <row r="51" spans="1:18" x14ac:dyDescent="0.3">
      <c r="A51" s="37" t="s">
        <v>77</v>
      </c>
      <c r="B51" s="33" t="s">
        <v>81</v>
      </c>
      <c r="C51" s="34">
        <v>1417</v>
      </c>
      <c r="D51" s="33">
        <v>80</v>
      </c>
      <c r="E51" s="33">
        <v>0</v>
      </c>
      <c r="F51" s="33">
        <v>1467</v>
      </c>
      <c r="G51" s="34">
        <v>260.81</v>
      </c>
      <c r="H51" s="34">
        <v>50</v>
      </c>
      <c r="I51" s="34">
        <v>1727.81</v>
      </c>
      <c r="J51" s="34">
        <v>255.85</v>
      </c>
      <c r="K51" s="34">
        <v>1983.66</v>
      </c>
      <c r="L51" s="33" t="s">
        <v>14</v>
      </c>
      <c r="M51" s="34" t="e">
        <f t="shared" si="9"/>
        <v>#DIV/0!</v>
      </c>
      <c r="N51" s="27"/>
      <c r="O51" s="34" t="e">
        <f t="shared" si="11"/>
        <v>#DIV/0!</v>
      </c>
      <c r="P51" s="35" t="e">
        <f t="shared" si="12"/>
        <v>#VALUE!</v>
      </c>
      <c r="Q51" s="34" t="e">
        <f t="shared" si="10"/>
        <v>#DIV/0!</v>
      </c>
      <c r="R51" s="35"/>
    </row>
    <row r="52" spans="1:18" x14ac:dyDescent="0.3">
      <c r="A52" s="37" t="s">
        <v>77</v>
      </c>
      <c r="B52" s="33" t="s">
        <v>81</v>
      </c>
      <c r="C52" s="34">
        <v>1420.3</v>
      </c>
      <c r="D52" s="33">
        <v>79</v>
      </c>
      <c r="E52" s="33">
        <v>0</v>
      </c>
      <c r="F52" s="33">
        <v>1777.5</v>
      </c>
      <c r="G52" s="34">
        <v>322.2</v>
      </c>
      <c r="H52" s="34">
        <v>35</v>
      </c>
      <c r="I52" s="34">
        <v>1777.5</v>
      </c>
      <c r="J52" s="34">
        <v>276.14</v>
      </c>
      <c r="K52" s="34">
        <v>2053.64</v>
      </c>
      <c r="L52" s="33" t="s">
        <v>14</v>
      </c>
      <c r="M52" s="34" t="e">
        <f t="shared" si="9"/>
        <v>#DIV/0!</v>
      </c>
      <c r="N52" s="27"/>
      <c r="O52" s="34" t="e">
        <f t="shared" si="11"/>
        <v>#DIV/0!</v>
      </c>
      <c r="P52" s="35" t="e">
        <f t="shared" si="12"/>
        <v>#VALUE!</v>
      </c>
      <c r="Q52" s="34" t="e">
        <f t="shared" si="10"/>
        <v>#DIV/0!</v>
      </c>
      <c r="R52" s="35"/>
    </row>
    <row r="53" spans="1:18" x14ac:dyDescent="0.3">
      <c r="A53" s="37" t="s">
        <v>77</v>
      </c>
      <c r="B53" s="33" t="s">
        <v>81</v>
      </c>
      <c r="C53" s="34">
        <v>812.03</v>
      </c>
      <c r="D53" s="33">
        <v>40</v>
      </c>
      <c r="E53" s="33">
        <v>360</v>
      </c>
      <c r="F53" s="33">
        <v>540</v>
      </c>
      <c r="G53" s="34">
        <v>87.97</v>
      </c>
      <c r="H53" s="34">
        <v>0</v>
      </c>
      <c r="I53" s="34">
        <v>900</v>
      </c>
      <c r="J53" s="34">
        <v>139.82</v>
      </c>
      <c r="K53" s="34">
        <v>1039.82</v>
      </c>
      <c r="L53" s="33" t="s">
        <v>14</v>
      </c>
      <c r="M53" s="34" t="e">
        <f t="shared" si="9"/>
        <v>#DIV/0!</v>
      </c>
      <c r="N53" s="27"/>
      <c r="O53" s="34" t="e">
        <f t="shared" si="11"/>
        <v>#DIV/0!</v>
      </c>
      <c r="P53" s="35" t="e">
        <f t="shared" si="12"/>
        <v>#VALUE!</v>
      </c>
      <c r="Q53" s="34" t="e">
        <f t="shared" si="10"/>
        <v>#DIV/0!</v>
      </c>
      <c r="R53" s="35"/>
    </row>
    <row r="54" spans="1:18" x14ac:dyDescent="0.3">
      <c r="A54" s="37" t="s">
        <v>77</v>
      </c>
      <c r="B54" s="33" t="s">
        <v>81</v>
      </c>
      <c r="C54" s="34">
        <v>500.02</v>
      </c>
      <c r="D54" s="33">
        <v>24.63</v>
      </c>
      <c r="E54" s="33">
        <v>0</v>
      </c>
      <c r="F54" s="33">
        <v>554.17999999999995</v>
      </c>
      <c r="G54" s="34">
        <v>54.16</v>
      </c>
      <c r="H54" s="34">
        <v>0</v>
      </c>
      <c r="I54" s="34">
        <v>554.17999999999995</v>
      </c>
      <c r="J54" s="34">
        <v>88.09</v>
      </c>
      <c r="K54" s="34">
        <v>642.27</v>
      </c>
      <c r="L54" s="33" t="s">
        <v>14</v>
      </c>
      <c r="M54" s="34" t="e">
        <f t="shared" si="9"/>
        <v>#DIV/0!</v>
      </c>
      <c r="N54" s="27"/>
      <c r="O54" s="34" t="e">
        <f t="shared" si="11"/>
        <v>#DIV/0!</v>
      </c>
      <c r="P54" s="35" t="e">
        <f t="shared" si="12"/>
        <v>#VALUE!</v>
      </c>
      <c r="Q54" s="34" t="e">
        <f t="shared" si="10"/>
        <v>#DIV/0!</v>
      </c>
      <c r="R54" s="35"/>
    </row>
    <row r="55" spans="1:18" x14ac:dyDescent="0.3">
      <c r="A55" s="37" t="s">
        <v>77</v>
      </c>
      <c r="B55" s="33" t="s">
        <v>81</v>
      </c>
      <c r="C55" s="34">
        <v>700.39</v>
      </c>
      <c r="D55" s="33">
        <v>34.5</v>
      </c>
      <c r="E55" s="33">
        <v>0</v>
      </c>
      <c r="F55" s="33">
        <v>776.25</v>
      </c>
      <c r="G55" s="34">
        <v>75.86</v>
      </c>
      <c r="H55" s="34">
        <v>0</v>
      </c>
      <c r="I55" s="34">
        <v>776.25</v>
      </c>
      <c r="J55" s="34">
        <v>123.39</v>
      </c>
      <c r="K55" s="34">
        <v>899.64</v>
      </c>
      <c r="L55" s="33" t="s">
        <v>14</v>
      </c>
      <c r="M55" s="34" t="e">
        <f t="shared" si="9"/>
        <v>#DIV/0!</v>
      </c>
      <c r="N55" s="27"/>
      <c r="O55" s="34" t="e">
        <f t="shared" si="11"/>
        <v>#DIV/0!</v>
      </c>
      <c r="P55" s="35" t="e">
        <f t="shared" si="12"/>
        <v>#VALUE!</v>
      </c>
      <c r="Q55" s="34" t="e">
        <f t="shared" si="10"/>
        <v>#DIV/0!</v>
      </c>
      <c r="R55" s="35"/>
    </row>
    <row r="56" spans="1:18" x14ac:dyDescent="0.3">
      <c r="A56" s="37" t="s">
        <v>77</v>
      </c>
      <c r="B56" s="33" t="s">
        <v>82</v>
      </c>
      <c r="C56" s="34">
        <v>1008.2</v>
      </c>
      <c r="D56" s="33">
        <v>80</v>
      </c>
      <c r="E56" s="33"/>
      <c r="F56" s="33"/>
      <c r="G56" s="34">
        <v>191.8</v>
      </c>
      <c r="H56" s="34">
        <v>0</v>
      </c>
      <c r="I56" s="34">
        <v>1200</v>
      </c>
      <c r="J56" s="34">
        <v>281.26</v>
      </c>
      <c r="K56" s="34">
        <v>1481.26</v>
      </c>
      <c r="L56" s="33"/>
      <c r="M56" s="34" t="e">
        <f t="shared" si="9"/>
        <v>#DIV/0!</v>
      </c>
      <c r="N56" s="27"/>
      <c r="O56" s="34" t="e">
        <f t="shared" si="11"/>
        <v>#DIV/0!</v>
      </c>
      <c r="P56" s="35" t="e">
        <f t="shared" si="12"/>
        <v>#VALUE!</v>
      </c>
      <c r="Q56" s="34" t="e">
        <f t="shared" si="10"/>
        <v>#DIV/0!</v>
      </c>
      <c r="R56" s="35">
        <v>409.55</v>
      </c>
    </row>
    <row r="57" spans="1:18" x14ac:dyDescent="0.3">
      <c r="A57" s="37" t="s">
        <v>77</v>
      </c>
      <c r="B57" s="33" t="s">
        <v>82</v>
      </c>
      <c r="C57" s="34">
        <v>1008.2</v>
      </c>
      <c r="D57" s="33">
        <v>80</v>
      </c>
      <c r="E57" s="33"/>
      <c r="F57" s="33"/>
      <c r="G57" s="34">
        <v>191.8</v>
      </c>
      <c r="H57" s="34">
        <v>0</v>
      </c>
      <c r="I57" s="34">
        <v>1200</v>
      </c>
      <c r="J57" s="34">
        <v>281.26</v>
      </c>
      <c r="K57" s="34">
        <v>1481.26</v>
      </c>
      <c r="L57" s="33"/>
      <c r="M57" s="34" t="e">
        <f t="shared" si="9"/>
        <v>#DIV/0!</v>
      </c>
      <c r="N57" s="27"/>
      <c r="O57" s="34" t="e">
        <f t="shared" si="11"/>
        <v>#DIV/0!</v>
      </c>
      <c r="P57" s="35" t="e">
        <f t="shared" si="12"/>
        <v>#VALUE!</v>
      </c>
      <c r="Q57" s="34" t="e">
        <f t="shared" si="10"/>
        <v>#DIV/0!</v>
      </c>
      <c r="R57" s="35"/>
    </row>
    <row r="58" spans="1:18" x14ac:dyDescent="0.3">
      <c r="A58" s="37" t="s">
        <v>77</v>
      </c>
      <c r="B58" s="33" t="s">
        <v>82</v>
      </c>
      <c r="C58" s="34">
        <v>1008.2</v>
      </c>
      <c r="D58" s="33">
        <v>80</v>
      </c>
      <c r="E58" s="33"/>
      <c r="F58" s="33"/>
      <c r="G58" s="34">
        <v>191.8</v>
      </c>
      <c r="H58" s="34">
        <v>0</v>
      </c>
      <c r="I58" s="34">
        <v>1200</v>
      </c>
      <c r="J58" s="34">
        <v>281.26</v>
      </c>
      <c r="K58" s="34">
        <v>1481.26</v>
      </c>
      <c r="L58" s="33"/>
      <c r="M58" s="34" t="e">
        <f t="shared" si="9"/>
        <v>#DIV/0!</v>
      </c>
      <c r="N58" s="27"/>
      <c r="O58" s="34" t="e">
        <f t="shared" si="11"/>
        <v>#DIV/0!</v>
      </c>
      <c r="P58" s="35" t="e">
        <f t="shared" si="12"/>
        <v>#VALUE!</v>
      </c>
      <c r="Q58" s="34" t="e">
        <f t="shared" si="10"/>
        <v>#DIV/0!</v>
      </c>
      <c r="R58" s="35"/>
    </row>
    <row r="59" spans="1:18" x14ac:dyDescent="0.3">
      <c r="A59" s="37" t="s">
        <v>77</v>
      </c>
      <c r="B59" s="33" t="s">
        <v>82</v>
      </c>
      <c r="C59" s="34">
        <v>1038.02</v>
      </c>
      <c r="D59" s="33">
        <v>80</v>
      </c>
      <c r="E59" s="33"/>
      <c r="F59" s="33"/>
      <c r="G59" s="34">
        <v>161.97999999999999</v>
      </c>
      <c r="H59" s="34">
        <v>0</v>
      </c>
      <c r="I59" s="34">
        <v>1200</v>
      </c>
      <c r="J59" s="34">
        <v>281.26</v>
      </c>
      <c r="K59" s="34">
        <v>1481.26</v>
      </c>
      <c r="L59" s="33" t="s">
        <v>14</v>
      </c>
      <c r="M59" s="34" t="e">
        <f t="shared" si="9"/>
        <v>#DIV/0!</v>
      </c>
      <c r="N59" s="27"/>
      <c r="O59" s="34" t="e">
        <f t="shared" si="11"/>
        <v>#DIV/0!</v>
      </c>
      <c r="P59" s="35" t="e">
        <f t="shared" si="12"/>
        <v>#VALUE!</v>
      </c>
      <c r="Q59" s="34" t="e">
        <f t="shared" si="10"/>
        <v>#DIV/0!</v>
      </c>
      <c r="R59" s="35"/>
    </row>
    <row r="60" spans="1:18" x14ac:dyDescent="0.3">
      <c r="A60" s="37" t="s">
        <v>77</v>
      </c>
      <c r="B60" s="33" t="s">
        <v>82</v>
      </c>
      <c r="C60" s="34">
        <v>1038.02</v>
      </c>
      <c r="D60" s="33">
        <v>80</v>
      </c>
      <c r="E60" s="33"/>
      <c r="F60" s="33"/>
      <c r="G60" s="34">
        <v>161.97999999999999</v>
      </c>
      <c r="H60" s="34">
        <v>0</v>
      </c>
      <c r="I60" s="34">
        <v>1200</v>
      </c>
      <c r="J60" s="34">
        <v>281.26</v>
      </c>
      <c r="K60" s="34">
        <v>1481.26</v>
      </c>
      <c r="L60" s="33" t="s">
        <v>14</v>
      </c>
      <c r="M60" s="34" t="e">
        <f t="shared" si="9"/>
        <v>#DIV/0!</v>
      </c>
      <c r="N60" s="27"/>
      <c r="O60" s="34" t="e">
        <f t="shared" si="11"/>
        <v>#DIV/0!</v>
      </c>
      <c r="P60" s="35" t="e">
        <f t="shared" si="12"/>
        <v>#VALUE!</v>
      </c>
      <c r="Q60" s="34" t="e">
        <f t="shared" si="10"/>
        <v>#DIV/0!</v>
      </c>
      <c r="R60" s="35"/>
    </row>
    <row r="61" spans="1:18" x14ac:dyDescent="0.3">
      <c r="A61" s="37" t="s">
        <v>77</v>
      </c>
      <c r="B61" s="33" t="s">
        <v>82</v>
      </c>
      <c r="C61" s="34">
        <v>1038.02</v>
      </c>
      <c r="D61" s="33">
        <v>80</v>
      </c>
      <c r="E61" s="33"/>
      <c r="F61" s="33"/>
      <c r="G61" s="34">
        <v>161.97999999999999</v>
      </c>
      <c r="H61" s="34">
        <v>0</v>
      </c>
      <c r="I61" s="34">
        <v>1200</v>
      </c>
      <c r="J61" s="34">
        <v>280.06</v>
      </c>
      <c r="K61" s="34">
        <v>1480.06</v>
      </c>
      <c r="L61" s="33" t="s">
        <v>14</v>
      </c>
      <c r="M61" s="34" t="e">
        <f t="shared" si="9"/>
        <v>#DIV/0!</v>
      </c>
      <c r="N61" s="27"/>
      <c r="O61" s="34" t="e">
        <f t="shared" si="11"/>
        <v>#DIV/0!</v>
      </c>
      <c r="P61" s="35" t="e">
        <f t="shared" si="12"/>
        <v>#VALUE!</v>
      </c>
      <c r="Q61" s="34" t="e">
        <f t="shared" si="10"/>
        <v>#DIV/0!</v>
      </c>
      <c r="R61" s="35"/>
    </row>
    <row r="62" spans="1:18" x14ac:dyDescent="0.3">
      <c r="A62" s="37" t="s">
        <v>77</v>
      </c>
      <c r="B62" s="33" t="s">
        <v>82</v>
      </c>
      <c r="C62" s="34">
        <v>1038.02</v>
      </c>
      <c r="D62" s="33">
        <v>80</v>
      </c>
      <c r="E62" s="33"/>
      <c r="F62" s="33"/>
      <c r="G62" s="34">
        <v>161.97999999999999</v>
      </c>
      <c r="H62" s="34">
        <v>0</v>
      </c>
      <c r="I62" s="34">
        <v>1200</v>
      </c>
      <c r="J62" s="34">
        <v>274.06</v>
      </c>
      <c r="K62" s="34">
        <v>1474.06</v>
      </c>
      <c r="L62" s="33" t="s">
        <v>14</v>
      </c>
      <c r="M62" s="34" t="e">
        <f t="shared" si="9"/>
        <v>#DIV/0!</v>
      </c>
      <c r="N62" s="27"/>
      <c r="O62" s="34" t="e">
        <f t="shared" si="11"/>
        <v>#DIV/0!</v>
      </c>
      <c r="P62" s="35" t="e">
        <f t="shared" si="12"/>
        <v>#VALUE!</v>
      </c>
      <c r="Q62" s="34" t="e">
        <f t="shared" si="10"/>
        <v>#DIV/0!</v>
      </c>
      <c r="R62" s="35"/>
    </row>
    <row r="63" spans="1:18" x14ac:dyDescent="0.3">
      <c r="A63" s="37" t="s">
        <v>77</v>
      </c>
      <c r="B63" s="33" t="s">
        <v>82</v>
      </c>
      <c r="C63" s="34">
        <v>1038.02</v>
      </c>
      <c r="D63" s="33">
        <v>80</v>
      </c>
      <c r="E63" s="33"/>
      <c r="F63" s="33"/>
      <c r="G63" s="34">
        <v>161.97999999999999</v>
      </c>
      <c r="H63" s="34">
        <v>0</v>
      </c>
      <c r="I63" s="34">
        <v>1200</v>
      </c>
      <c r="J63" s="34">
        <v>274.06</v>
      </c>
      <c r="K63" s="34">
        <v>1474.06</v>
      </c>
      <c r="L63" s="33" t="s">
        <v>14</v>
      </c>
      <c r="M63" s="34" t="e">
        <f t="shared" si="9"/>
        <v>#DIV/0!</v>
      </c>
      <c r="N63" s="27"/>
      <c r="O63" s="34" t="e">
        <f t="shared" si="11"/>
        <v>#DIV/0!</v>
      </c>
      <c r="P63" s="35" t="e">
        <f t="shared" si="12"/>
        <v>#VALUE!</v>
      </c>
      <c r="Q63" s="34" t="e">
        <f t="shared" si="10"/>
        <v>#DIV/0!</v>
      </c>
      <c r="R63" s="35"/>
    </row>
    <row r="64" spans="1:18" x14ac:dyDescent="0.3">
      <c r="A64" s="37" t="s">
        <v>77</v>
      </c>
      <c r="B64" s="33" t="s">
        <v>82</v>
      </c>
      <c r="C64" s="34">
        <v>1038.02</v>
      </c>
      <c r="D64" s="33">
        <v>80</v>
      </c>
      <c r="E64" s="33"/>
      <c r="F64" s="33"/>
      <c r="G64" s="34">
        <v>161.97999999999999</v>
      </c>
      <c r="H64" s="34">
        <v>0</v>
      </c>
      <c r="I64" s="34">
        <v>1200</v>
      </c>
      <c r="J64" s="34">
        <v>274.06</v>
      </c>
      <c r="K64" s="34">
        <v>1474.06</v>
      </c>
      <c r="L64" s="33" t="s">
        <v>14</v>
      </c>
      <c r="M64" s="34" t="e">
        <f t="shared" si="9"/>
        <v>#DIV/0!</v>
      </c>
      <c r="N64" s="27"/>
      <c r="O64" s="34" t="e">
        <f t="shared" si="11"/>
        <v>#DIV/0!</v>
      </c>
      <c r="P64" s="35" t="e">
        <f t="shared" si="12"/>
        <v>#VALUE!</v>
      </c>
      <c r="Q64" s="34" t="e">
        <f t="shared" si="10"/>
        <v>#DIV/0!</v>
      </c>
      <c r="R64" s="35"/>
    </row>
    <row r="65" spans="1:19" x14ac:dyDescent="0.3">
      <c r="A65" s="37" t="s">
        <v>77</v>
      </c>
      <c r="B65" s="33" t="s">
        <v>82</v>
      </c>
      <c r="C65" s="34">
        <v>1038.02</v>
      </c>
      <c r="D65" s="33">
        <v>80</v>
      </c>
      <c r="E65" s="33"/>
      <c r="F65" s="33"/>
      <c r="G65" s="34">
        <v>161.97999999999999</v>
      </c>
      <c r="H65" s="34">
        <v>0</v>
      </c>
      <c r="I65" s="34">
        <v>1200</v>
      </c>
      <c r="J65" s="34">
        <v>274.06</v>
      </c>
      <c r="K65" s="34">
        <v>1474.06</v>
      </c>
      <c r="L65" s="33" t="s">
        <v>14</v>
      </c>
      <c r="M65" s="34" t="e">
        <f t="shared" si="9"/>
        <v>#DIV/0!</v>
      </c>
      <c r="N65" s="27"/>
      <c r="O65" s="34" t="e">
        <f t="shared" si="11"/>
        <v>#DIV/0!</v>
      </c>
      <c r="P65" s="35" t="e">
        <f t="shared" si="12"/>
        <v>#VALUE!</v>
      </c>
      <c r="Q65" s="34" t="e">
        <f t="shared" si="10"/>
        <v>#DIV/0!</v>
      </c>
      <c r="R65" s="35"/>
    </row>
    <row r="66" spans="1:19" x14ac:dyDescent="0.3">
      <c r="A66" s="37" t="s">
        <v>77</v>
      </c>
      <c r="B66" s="33" t="s">
        <v>82</v>
      </c>
      <c r="C66" s="34">
        <v>1038.02</v>
      </c>
      <c r="D66" s="33">
        <v>80</v>
      </c>
      <c r="E66" s="33"/>
      <c r="F66" s="33"/>
      <c r="G66" s="34">
        <v>161.97999999999999</v>
      </c>
      <c r="H66" s="34">
        <v>0</v>
      </c>
      <c r="I66" s="34">
        <v>1200</v>
      </c>
      <c r="J66" s="34">
        <v>274.06</v>
      </c>
      <c r="K66" s="34">
        <v>1474.06</v>
      </c>
      <c r="L66" s="33" t="s">
        <v>14</v>
      </c>
      <c r="M66" s="34" t="e">
        <f t="shared" si="9"/>
        <v>#DIV/0!</v>
      </c>
      <c r="N66" s="27"/>
      <c r="O66" s="34" t="e">
        <f t="shared" si="11"/>
        <v>#DIV/0!</v>
      </c>
      <c r="P66" s="35" t="e">
        <f t="shared" si="12"/>
        <v>#VALUE!</v>
      </c>
      <c r="Q66" s="34" t="e">
        <f t="shared" si="10"/>
        <v>#DIV/0!</v>
      </c>
      <c r="R66" s="35"/>
    </row>
    <row r="67" spans="1:19" x14ac:dyDescent="0.3">
      <c r="A67" s="37" t="s">
        <v>77</v>
      </c>
      <c r="B67" s="33" t="s">
        <v>82</v>
      </c>
      <c r="C67" s="34">
        <v>1038.02</v>
      </c>
      <c r="D67" s="33">
        <v>80</v>
      </c>
      <c r="E67" s="33"/>
      <c r="F67" s="33"/>
      <c r="G67" s="34">
        <v>161.97999999999999</v>
      </c>
      <c r="H67" s="34">
        <v>0</v>
      </c>
      <c r="I67" s="34">
        <v>1200</v>
      </c>
      <c r="J67" s="34">
        <v>274.06</v>
      </c>
      <c r="K67" s="34">
        <v>1474.06</v>
      </c>
      <c r="L67" s="33" t="s">
        <v>14</v>
      </c>
      <c r="M67" s="34" t="e">
        <f t="shared" si="9"/>
        <v>#DIV/0!</v>
      </c>
      <c r="N67" s="27"/>
      <c r="O67" s="34" t="e">
        <f t="shared" si="11"/>
        <v>#DIV/0!</v>
      </c>
      <c r="P67" s="35" t="e">
        <f t="shared" si="12"/>
        <v>#VALUE!</v>
      </c>
      <c r="Q67" s="34" t="e">
        <f t="shared" si="10"/>
        <v>#DIV/0!</v>
      </c>
      <c r="R67" s="35"/>
    </row>
    <row r="68" spans="1:19" x14ac:dyDescent="0.3">
      <c r="A68" s="37" t="s">
        <v>77</v>
      </c>
      <c r="B68" s="33" t="s">
        <v>82</v>
      </c>
      <c r="C68" s="34">
        <v>1038.02</v>
      </c>
      <c r="D68" s="33">
        <v>80</v>
      </c>
      <c r="E68" s="33"/>
      <c r="F68" s="33"/>
      <c r="G68" s="34">
        <v>161.97999999999999</v>
      </c>
      <c r="H68" s="34">
        <v>0</v>
      </c>
      <c r="I68" s="34">
        <v>1200</v>
      </c>
      <c r="J68" s="34">
        <v>274.06</v>
      </c>
      <c r="K68" s="34">
        <v>1474.06</v>
      </c>
      <c r="L68" s="33" t="s">
        <v>14</v>
      </c>
      <c r="M68" s="34" t="e">
        <f t="shared" si="9"/>
        <v>#DIV/0!</v>
      </c>
      <c r="N68" s="27"/>
      <c r="O68" s="34" t="e">
        <f t="shared" si="11"/>
        <v>#DIV/0!</v>
      </c>
      <c r="P68" s="35" t="e">
        <f t="shared" si="12"/>
        <v>#VALUE!</v>
      </c>
      <c r="Q68" s="34" t="e">
        <f t="shared" si="10"/>
        <v>#DIV/0!</v>
      </c>
      <c r="R68" s="35"/>
    </row>
    <row r="69" spans="1:19" x14ac:dyDescent="0.3">
      <c r="A69" s="37" t="s">
        <v>77</v>
      </c>
      <c r="B69" s="33" t="s">
        <v>82</v>
      </c>
      <c r="C69" s="34">
        <v>812.6</v>
      </c>
      <c r="D69" s="33">
        <v>61</v>
      </c>
      <c r="E69" s="33"/>
      <c r="F69" s="33"/>
      <c r="G69" s="34">
        <v>102.4</v>
      </c>
      <c r="H69" s="34">
        <v>0</v>
      </c>
      <c r="I69" s="34">
        <v>915</v>
      </c>
      <c r="J69" s="34">
        <v>208.97</v>
      </c>
      <c r="K69" s="34">
        <v>1123.97</v>
      </c>
      <c r="L69" s="33" t="s">
        <v>14</v>
      </c>
      <c r="M69" s="34" t="e">
        <f t="shared" si="9"/>
        <v>#DIV/0!</v>
      </c>
      <c r="N69" s="27"/>
      <c r="O69" s="34" t="e">
        <f t="shared" si="11"/>
        <v>#DIV/0!</v>
      </c>
      <c r="P69" s="35" t="e">
        <f t="shared" si="12"/>
        <v>#VALUE!</v>
      </c>
      <c r="Q69" s="34" t="e">
        <f t="shared" si="10"/>
        <v>#DIV/0!</v>
      </c>
      <c r="R69" s="35"/>
    </row>
    <row r="70" spans="1:19" x14ac:dyDescent="0.3">
      <c r="A70" s="37" t="s">
        <v>77</v>
      </c>
      <c r="B70" s="33" t="s">
        <v>82</v>
      </c>
      <c r="C70" s="34">
        <v>990.73</v>
      </c>
      <c r="D70" s="33">
        <v>76</v>
      </c>
      <c r="E70" s="33"/>
      <c r="F70" s="33"/>
      <c r="G70" s="34">
        <v>149.27000000000001</v>
      </c>
      <c r="H70" s="34">
        <v>0</v>
      </c>
      <c r="I70" s="34">
        <v>1140</v>
      </c>
      <c r="J70" s="34">
        <v>260.35000000000002</v>
      </c>
      <c r="K70" s="34">
        <v>1400.35</v>
      </c>
      <c r="L70" s="33" t="s">
        <v>14</v>
      </c>
      <c r="M70" s="34" t="e">
        <f t="shared" si="9"/>
        <v>#DIV/0!</v>
      </c>
      <c r="N70" s="27"/>
      <c r="O70" s="34" t="e">
        <f t="shared" si="11"/>
        <v>#DIV/0!</v>
      </c>
      <c r="P70" s="35" t="e">
        <f t="shared" si="12"/>
        <v>#VALUE!</v>
      </c>
      <c r="Q70" s="34" t="e">
        <f t="shared" si="10"/>
        <v>#DIV/0!</v>
      </c>
      <c r="R70" s="35"/>
    </row>
    <row r="71" spans="1:19" x14ac:dyDescent="0.3">
      <c r="A71" s="37" t="s">
        <v>77</v>
      </c>
      <c r="B71" s="33" t="s">
        <v>82</v>
      </c>
      <c r="C71" s="34">
        <v>1038.02</v>
      </c>
      <c r="D71" s="33">
        <v>80</v>
      </c>
      <c r="E71" s="33"/>
      <c r="F71" s="33"/>
      <c r="G71" s="34">
        <v>161.97999999999999</v>
      </c>
      <c r="H71" s="34">
        <v>0</v>
      </c>
      <c r="I71" s="34">
        <v>1200</v>
      </c>
      <c r="J71" s="34">
        <v>274.06</v>
      </c>
      <c r="K71" s="34">
        <v>1474.06</v>
      </c>
      <c r="L71" s="33" t="s">
        <v>14</v>
      </c>
      <c r="M71" s="34" t="e">
        <f t="shared" si="9"/>
        <v>#DIV/0!</v>
      </c>
      <c r="N71" s="27"/>
      <c r="O71" s="34" t="e">
        <f t="shared" si="11"/>
        <v>#DIV/0!</v>
      </c>
      <c r="P71" s="35" t="e">
        <f t="shared" si="12"/>
        <v>#VALUE!</v>
      </c>
      <c r="Q71" s="34" t="e">
        <f t="shared" si="10"/>
        <v>#DIV/0!</v>
      </c>
      <c r="R71" s="35"/>
    </row>
    <row r="72" spans="1:19" x14ac:dyDescent="0.3">
      <c r="A72" s="32">
        <v>43393</v>
      </c>
      <c r="B72" s="33" t="s">
        <v>84</v>
      </c>
      <c r="C72" s="34"/>
      <c r="D72" s="31">
        <v>30</v>
      </c>
      <c r="E72" s="33"/>
      <c r="F72" s="33"/>
      <c r="G72" s="34"/>
      <c r="H72" s="34"/>
      <c r="I72" s="34"/>
      <c r="J72" s="34"/>
      <c r="K72" s="34"/>
      <c r="L72" s="33"/>
      <c r="M72" s="34"/>
      <c r="N72" s="27"/>
      <c r="O72" s="34"/>
      <c r="P72" s="35">
        <f t="shared" si="12"/>
        <v>0</v>
      </c>
      <c r="Q72" s="34"/>
      <c r="R72" s="35"/>
    </row>
    <row r="73" spans="1:19" x14ac:dyDescent="0.3">
      <c r="A73" s="32">
        <v>43407</v>
      </c>
      <c r="B73" s="33" t="s">
        <v>84</v>
      </c>
      <c r="C73" s="34"/>
      <c r="D73" s="31">
        <v>109</v>
      </c>
      <c r="E73" s="33"/>
      <c r="F73" s="33"/>
      <c r="G73" s="34"/>
      <c r="H73" s="34"/>
      <c r="I73" s="34"/>
      <c r="J73" s="34"/>
      <c r="K73" s="34"/>
      <c r="L73" s="33"/>
      <c r="M73" s="34"/>
      <c r="N73" s="27"/>
      <c r="O73" s="34"/>
      <c r="P73" s="35">
        <f t="shared" si="12"/>
        <v>0</v>
      </c>
      <c r="Q73" s="34"/>
      <c r="R73" s="35"/>
    </row>
    <row r="74" spans="1:19" x14ac:dyDescent="0.3">
      <c r="A74" s="32">
        <v>43421</v>
      </c>
      <c r="B74" s="33" t="s">
        <v>84</v>
      </c>
      <c r="C74" s="34"/>
      <c r="D74" s="31">
        <v>133</v>
      </c>
      <c r="E74" s="33"/>
      <c r="F74" s="33"/>
      <c r="G74" s="34"/>
      <c r="H74" s="34"/>
      <c r="I74" s="34"/>
      <c r="J74" s="34"/>
      <c r="K74" s="34"/>
      <c r="L74" s="33"/>
      <c r="M74" s="34"/>
      <c r="N74" s="27"/>
      <c r="O74" s="34"/>
      <c r="P74" s="35">
        <f t="shared" si="12"/>
        <v>0</v>
      </c>
      <c r="Q74" s="34"/>
      <c r="R74" s="35"/>
    </row>
    <row r="75" spans="1:19" x14ac:dyDescent="0.3">
      <c r="A75" s="32">
        <v>43441</v>
      </c>
      <c r="B75" s="33" t="s">
        <v>84</v>
      </c>
      <c r="C75" s="34">
        <v>1126</v>
      </c>
      <c r="D75" s="36">
        <v>58</v>
      </c>
      <c r="E75" s="33">
        <v>244.13</v>
      </c>
      <c r="F75" s="33">
        <v>1520</v>
      </c>
      <c r="G75" s="34">
        <v>288.13</v>
      </c>
      <c r="H75" s="34">
        <v>350</v>
      </c>
      <c r="I75" s="34">
        <v>1764.13</v>
      </c>
      <c r="J75" s="34">
        <v>338.01</v>
      </c>
      <c r="K75" s="34">
        <v>2102.14</v>
      </c>
      <c r="L75" s="33" t="s">
        <v>14</v>
      </c>
      <c r="M75" s="34">
        <f t="shared" ref="M75:M119" si="13">(E75+F75)/N75</f>
        <v>21.51378048780488</v>
      </c>
      <c r="N75" s="27">
        <v>82</v>
      </c>
      <c r="O75" s="38">
        <f>(M75*0.5)*18</f>
        <v>193.6240243902439</v>
      </c>
      <c r="P75" s="35">
        <f t="shared" si="12"/>
        <v>40.659999999999997</v>
      </c>
      <c r="Q75" s="34">
        <f t="shared" ref="Q75:Q120" si="14">O75*1.5</f>
        <v>290.43603658536585</v>
      </c>
      <c r="R75" s="35">
        <v>409.55</v>
      </c>
      <c r="S75" s="47"/>
    </row>
    <row r="76" spans="1:19" x14ac:dyDescent="0.3">
      <c r="A76" s="32">
        <v>43455</v>
      </c>
      <c r="B76" s="33" t="s">
        <v>84</v>
      </c>
      <c r="C76" s="34">
        <v>2079</v>
      </c>
      <c r="D76" s="33">
        <v>80</v>
      </c>
      <c r="E76" s="33">
        <v>469.46</v>
      </c>
      <c r="F76" s="33">
        <v>2080</v>
      </c>
      <c r="G76" s="34">
        <v>470.46</v>
      </c>
      <c r="H76" s="34">
        <v>0</v>
      </c>
      <c r="I76" s="34">
        <v>2549.46</v>
      </c>
      <c r="J76" s="34">
        <v>417.01</v>
      </c>
      <c r="K76" s="34">
        <v>2966.47</v>
      </c>
      <c r="L76" s="33" t="s">
        <v>14</v>
      </c>
      <c r="M76" s="34">
        <f t="shared" si="13"/>
        <v>22.073246753246753</v>
      </c>
      <c r="N76" s="27">
        <v>115.5</v>
      </c>
      <c r="O76" s="34">
        <f t="shared" ref="O76:O84" si="15">((N76-80)*M76)*0.5</f>
        <v>391.80012987012987</v>
      </c>
      <c r="P76" s="35">
        <f t="shared" si="12"/>
        <v>78.36</v>
      </c>
      <c r="Q76" s="34">
        <f t="shared" si="14"/>
        <v>587.70019480519477</v>
      </c>
      <c r="R76" s="35"/>
    </row>
    <row r="77" spans="1:19" x14ac:dyDescent="0.3">
      <c r="A77" s="37">
        <v>43469</v>
      </c>
      <c r="B77" s="33" t="s">
        <v>84</v>
      </c>
      <c r="C77" s="34">
        <v>895.48</v>
      </c>
      <c r="D77" s="33">
        <v>80</v>
      </c>
      <c r="E77" s="33">
        <v>465.3</v>
      </c>
      <c r="F77" s="33">
        <v>1480</v>
      </c>
      <c r="G77" s="34">
        <v>234.52</v>
      </c>
      <c r="H77" s="34">
        <v>350</v>
      </c>
      <c r="I77" s="34">
        <v>1480</v>
      </c>
      <c r="J77" s="34">
        <v>309.43</v>
      </c>
      <c r="K77" s="34">
        <v>1789.43</v>
      </c>
      <c r="L77" s="33" t="s">
        <v>14</v>
      </c>
      <c r="M77" s="34">
        <f t="shared" si="13"/>
        <v>20.91720430107527</v>
      </c>
      <c r="N77" s="27">
        <v>93</v>
      </c>
      <c r="O77" s="34">
        <f t="shared" si="15"/>
        <v>135.96182795698925</v>
      </c>
      <c r="P77" s="35">
        <f t="shared" si="12"/>
        <v>27.19</v>
      </c>
      <c r="Q77" s="34">
        <f t="shared" si="14"/>
        <v>203.94274193548387</v>
      </c>
      <c r="R77" s="35"/>
    </row>
    <row r="78" spans="1:19" x14ac:dyDescent="0.3">
      <c r="A78" s="37" t="s">
        <v>77</v>
      </c>
      <c r="B78" s="33" t="s">
        <v>84</v>
      </c>
      <c r="C78" s="34">
        <v>1979.96</v>
      </c>
      <c r="D78" s="33">
        <v>80</v>
      </c>
      <c r="E78" s="33">
        <v>932.04</v>
      </c>
      <c r="F78" s="33">
        <v>1480</v>
      </c>
      <c r="G78" s="34">
        <v>216.04</v>
      </c>
      <c r="H78" s="34">
        <v>0</v>
      </c>
      <c r="I78" s="34">
        <v>2196</v>
      </c>
      <c r="J78" s="34">
        <v>381.46</v>
      </c>
      <c r="K78" s="34">
        <v>2577.46</v>
      </c>
      <c r="L78" s="33" t="s">
        <v>14</v>
      </c>
      <c r="M78" s="34" t="e">
        <f t="shared" si="13"/>
        <v>#DIV/0!</v>
      </c>
      <c r="N78" s="27"/>
      <c r="O78" s="34" t="e">
        <f t="shared" si="15"/>
        <v>#DIV/0!</v>
      </c>
      <c r="P78" s="35" t="e">
        <f t="shared" si="12"/>
        <v>#VALUE!</v>
      </c>
      <c r="Q78" s="34" t="e">
        <f t="shared" si="14"/>
        <v>#DIV/0!</v>
      </c>
      <c r="R78" s="35"/>
    </row>
    <row r="79" spans="1:19" x14ac:dyDescent="0.3">
      <c r="A79" s="37" t="s">
        <v>77</v>
      </c>
      <c r="B79" s="33" t="s">
        <v>84</v>
      </c>
      <c r="C79" s="34">
        <v>2181</v>
      </c>
      <c r="D79" s="33">
        <v>80</v>
      </c>
      <c r="E79" s="33">
        <v>1715.43</v>
      </c>
      <c r="F79" s="33">
        <v>1480</v>
      </c>
      <c r="G79" s="34">
        <v>664.43</v>
      </c>
      <c r="H79" s="34">
        <v>350</v>
      </c>
      <c r="I79" s="34">
        <v>3195.43</v>
      </c>
      <c r="J79" s="34">
        <v>478.57</v>
      </c>
      <c r="K79" s="34">
        <v>3674</v>
      </c>
      <c r="L79" s="33" t="s">
        <v>14</v>
      </c>
      <c r="M79" s="34" t="e">
        <f t="shared" si="13"/>
        <v>#DIV/0!</v>
      </c>
      <c r="N79" s="27"/>
      <c r="O79" s="34" t="e">
        <f t="shared" si="15"/>
        <v>#DIV/0!</v>
      </c>
      <c r="P79" s="35" t="e">
        <f t="shared" si="12"/>
        <v>#VALUE!</v>
      </c>
      <c r="Q79" s="34" t="e">
        <f t="shared" si="14"/>
        <v>#DIV/0!</v>
      </c>
      <c r="R79" s="35"/>
    </row>
    <row r="80" spans="1:19" x14ac:dyDescent="0.3">
      <c r="A80" s="37" t="s">
        <v>77</v>
      </c>
      <c r="B80" s="33" t="s">
        <v>84</v>
      </c>
      <c r="C80" s="34">
        <v>1984</v>
      </c>
      <c r="D80" s="33">
        <v>80</v>
      </c>
      <c r="E80" s="33">
        <v>216.39</v>
      </c>
      <c r="F80" s="33">
        <v>1984</v>
      </c>
      <c r="G80" s="34">
        <v>216.39</v>
      </c>
      <c r="H80" s="34">
        <v>0</v>
      </c>
      <c r="I80" s="34">
        <v>2200.39</v>
      </c>
      <c r="J80" s="34">
        <v>368.69</v>
      </c>
      <c r="K80" s="34">
        <v>2569.08</v>
      </c>
      <c r="L80" s="33" t="s">
        <v>14</v>
      </c>
      <c r="M80" s="34" t="e">
        <f t="shared" si="13"/>
        <v>#DIV/0!</v>
      </c>
      <c r="N80" s="27"/>
      <c r="O80" s="34" t="e">
        <f t="shared" si="15"/>
        <v>#DIV/0!</v>
      </c>
      <c r="P80" s="35" t="e">
        <f t="shared" ref="P80:P111" si="16">ROUND(((ROUNDDOWN(($T$1-A80)/30,0))/100)*O80,2)</f>
        <v>#VALUE!</v>
      </c>
      <c r="Q80" s="34" t="e">
        <f t="shared" si="14"/>
        <v>#DIV/0!</v>
      </c>
      <c r="R80" s="35"/>
    </row>
    <row r="81" spans="1:18" x14ac:dyDescent="0.3">
      <c r="A81" s="37" t="s">
        <v>77</v>
      </c>
      <c r="B81" s="33" t="s">
        <v>84</v>
      </c>
      <c r="C81" s="34">
        <v>1802</v>
      </c>
      <c r="D81" s="33">
        <v>0</v>
      </c>
      <c r="E81" s="33">
        <v>1802</v>
      </c>
      <c r="F81" s="33">
        <v>0</v>
      </c>
      <c r="G81" s="34">
        <v>319.75</v>
      </c>
      <c r="H81" s="34">
        <v>0</v>
      </c>
      <c r="I81" s="34">
        <v>2121.75</v>
      </c>
      <c r="J81" s="34">
        <v>200.71</v>
      </c>
      <c r="K81" s="34">
        <v>2322.46</v>
      </c>
      <c r="L81" s="33" t="s">
        <v>14</v>
      </c>
      <c r="M81" s="34" t="e">
        <f t="shared" si="13"/>
        <v>#DIV/0!</v>
      </c>
      <c r="N81" s="27"/>
      <c r="O81" s="34" t="e">
        <f t="shared" si="15"/>
        <v>#DIV/0!</v>
      </c>
      <c r="P81" s="35" t="e">
        <f t="shared" si="16"/>
        <v>#VALUE!</v>
      </c>
      <c r="Q81" s="34" t="e">
        <f t="shared" si="14"/>
        <v>#DIV/0!</v>
      </c>
      <c r="R81" s="35"/>
    </row>
    <row r="82" spans="1:18" x14ac:dyDescent="0.3">
      <c r="A82" s="37" t="s">
        <v>77</v>
      </c>
      <c r="B82" s="33" t="s">
        <v>84</v>
      </c>
      <c r="C82" s="34">
        <v>2299</v>
      </c>
      <c r="D82" s="33">
        <v>80</v>
      </c>
      <c r="E82" s="33">
        <v>1384.47</v>
      </c>
      <c r="F82" s="33">
        <v>1480</v>
      </c>
      <c r="G82" s="34">
        <v>565.47</v>
      </c>
      <c r="H82" s="34">
        <v>0</v>
      </c>
      <c r="I82" s="34">
        <v>2864.47</v>
      </c>
      <c r="J82" s="34">
        <v>431.53</v>
      </c>
      <c r="K82" s="34">
        <v>3296</v>
      </c>
      <c r="L82" s="33" t="s">
        <v>14</v>
      </c>
      <c r="M82" s="34" t="e">
        <f t="shared" si="13"/>
        <v>#DIV/0!</v>
      </c>
      <c r="N82" s="27"/>
      <c r="O82" s="34" t="e">
        <f t="shared" si="15"/>
        <v>#DIV/0!</v>
      </c>
      <c r="P82" s="35" t="e">
        <f t="shared" si="16"/>
        <v>#VALUE!</v>
      </c>
      <c r="Q82" s="34" t="e">
        <f t="shared" si="14"/>
        <v>#DIV/0!</v>
      </c>
      <c r="R82" s="35"/>
    </row>
    <row r="83" spans="1:18" x14ac:dyDescent="0.3">
      <c r="A83" s="37" t="s">
        <v>77</v>
      </c>
      <c r="B83" s="33" t="s">
        <v>84</v>
      </c>
      <c r="C83" s="34">
        <v>1897</v>
      </c>
      <c r="D83" s="33">
        <v>80</v>
      </c>
      <c r="E83" s="33">
        <v>1310.29</v>
      </c>
      <c r="F83" s="33">
        <v>1480</v>
      </c>
      <c r="G83" s="34">
        <v>543.29</v>
      </c>
      <c r="H83" s="34">
        <v>350</v>
      </c>
      <c r="I83" s="34">
        <v>2790.29</v>
      </c>
      <c r="J83" s="34">
        <v>424.5</v>
      </c>
      <c r="K83" s="34">
        <v>3214.79</v>
      </c>
      <c r="L83" s="33" t="s">
        <v>14</v>
      </c>
      <c r="M83" s="34" t="e">
        <f t="shared" si="13"/>
        <v>#DIV/0!</v>
      </c>
      <c r="N83" s="27"/>
      <c r="O83" s="34" t="e">
        <f t="shared" si="15"/>
        <v>#DIV/0!</v>
      </c>
      <c r="P83" s="35" t="e">
        <f t="shared" si="16"/>
        <v>#VALUE!</v>
      </c>
      <c r="Q83" s="34" t="e">
        <f t="shared" si="14"/>
        <v>#DIV/0!</v>
      </c>
      <c r="R83" s="35"/>
    </row>
    <row r="84" spans="1:18" x14ac:dyDescent="0.3">
      <c r="A84" s="37" t="s">
        <v>77</v>
      </c>
      <c r="B84" s="33" t="s">
        <v>84</v>
      </c>
      <c r="C84" s="34">
        <v>1897</v>
      </c>
      <c r="D84" s="33">
        <v>80</v>
      </c>
      <c r="E84" s="33">
        <v>823.04</v>
      </c>
      <c r="F84" s="33">
        <v>1850</v>
      </c>
      <c r="G84" s="34">
        <v>396.41</v>
      </c>
      <c r="H84" s="34">
        <v>0</v>
      </c>
      <c r="I84" s="34">
        <v>2293.41</v>
      </c>
      <c r="J84" s="34">
        <v>377.49</v>
      </c>
      <c r="K84" s="34">
        <v>2670.9</v>
      </c>
      <c r="L84" s="33" t="s">
        <v>14</v>
      </c>
      <c r="M84" s="34" t="e">
        <f t="shared" si="13"/>
        <v>#DIV/0!</v>
      </c>
      <c r="N84" s="27"/>
      <c r="O84" s="34" t="e">
        <f t="shared" si="15"/>
        <v>#DIV/0!</v>
      </c>
      <c r="P84" s="35" t="e">
        <f t="shared" si="16"/>
        <v>#VALUE!</v>
      </c>
      <c r="Q84" s="34" t="e">
        <f t="shared" si="14"/>
        <v>#DIV/0!</v>
      </c>
      <c r="R84" s="35"/>
    </row>
    <row r="85" spans="1:18" x14ac:dyDescent="0.3">
      <c r="A85" s="32">
        <v>43581</v>
      </c>
      <c r="B85" s="33" t="s">
        <v>84</v>
      </c>
      <c r="C85" s="34">
        <v>1907</v>
      </c>
      <c r="D85" s="36">
        <v>59</v>
      </c>
      <c r="E85" s="33">
        <v>1324.53</v>
      </c>
      <c r="F85" s="33">
        <v>1480</v>
      </c>
      <c r="G85" s="34">
        <v>547.53</v>
      </c>
      <c r="H85" s="34">
        <v>350</v>
      </c>
      <c r="I85" s="34">
        <v>2804.53</v>
      </c>
      <c r="J85" s="34">
        <v>421.08</v>
      </c>
      <c r="K85" s="34">
        <v>3225.61</v>
      </c>
      <c r="L85" s="33" t="s">
        <v>14</v>
      </c>
      <c r="M85" s="34">
        <f t="shared" si="13"/>
        <v>47.534406779661012</v>
      </c>
      <c r="N85" s="27">
        <v>59</v>
      </c>
      <c r="O85" s="38">
        <f>(M85*0.5)*19</f>
        <v>451.57686440677963</v>
      </c>
      <c r="P85" s="35">
        <f t="shared" si="16"/>
        <v>72.25</v>
      </c>
      <c r="Q85" s="34">
        <f t="shared" si="14"/>
        <v>677.36529661016948</v>
      </c>
      <c r="R85" s="35"/>
    </row>
    <row r="86" spans="1:18" x14ac:dyDescent="0.3">
      <c r="A86" s="32">
        <v>43595</v>
      </c>
      <c r="B86" s="33" t="s">
        <v>84</v>
      </c>
      <c r="C86" s="34">
        <v>2698</v>
      </c>
      <c r="D86" s="33">
        <v>80</v>
      </c>
      <c r="E86" s="33">
        <v>1953.67</v>
      </c>
      <c r="F86" s="33">
        <v>1480</v>
      </c>
      <c r="G86" s="34">
        <v>735.67</v>
      </c>
      <c r="H86" s="34">
        <v>0</v>
      </c>
      <c r="I86" s="34">
        <v>3433.67</v>
      </c>
      <c r="J86" s="34">
        <v>479.53</v>
      </c>
      <c r="K86" s="34">
        <v>3913.2</v>
      </c>
      <c r="L86" s="33" t="s">
        <v>14</v>
      </c>
      <c r="M86" s="34">
        <f t="shared" si="13"/>
        <v>35.582072538860103</v>
      </c>
      <c r="N86" s="27">
        <v>96.5</v>
      </c>
      <c r="O86" s="34">
        <f>((N86-80)*M86)*0.5</f>
        <v>293.55209844559585</v>
      </c>
      <c r="P86" s="35">
        <f t="shared" si="16"/>
        <v>46.97</v>
      </c>
      <c r="Q86" s="34">
        <f t="shared" si="14"/>
        <v>440.32814766839374</v>
      </c>
      <c r="R86" s="35"/>
    </row>
    <row r="87" spans="1:18" x14ac:dyDescent="0.3">
      <c r="A87" s="32">
        <v>43609</v>
      </c>
      <c r="B87" s="33" t="s">
        <v>84</v>
      </c>
      <c r="C87" s="34">
        <v>2348</v>
      </c>
      <c r="D87" s="33">
        <v>80</v>
      </c>
      <c r="E87" s="33">
        <v>1953.66</v>
      </c>
      <c r="F87" s="33">
        <v>1480</v>
      </c>
      <c r="G87" s="34">
        <v>735.66</v>
      </c>
      <c r="H87" s="34">
        <v>350</v>
      </c>
      <c r="I87" s="34">
        <v>3433.66</v>
      </c>
      <c r="J87" s="34">
        <v>479.53</v>
      </c>
      <c r="K87" s="34">
        <v>3913.19</v>
      </c>
      <c r="L87" s="33" t="s">
        <v>14</v>
      </c>
      <c r="M87" s="34">
        <f t="shared" si="13"/>
        <v>39.926279069767439</v>
      </c>
      <c r="N87" s="27">
        <v>86</v>
      </c>
      <c r="O87" s="34">
        <f>((N87-80)*M87)*0.5</f>
        <v>119.77883720930231</v>
      </c>
      <c r="P87" s="35">
        <f t="shared" si="16"/>
        <v>17.97</v>
      </c>
      <c r="Q87" s="34">
        <f t="shared" si="14"/>
        <v>179.66825581395346</v>
      </c>
      <c r="R87" s="35"/>
    </row>
    <row r="88" spans="1:18" x14ac:dyDescent="0.3">
      <c r="A88" s="32">
        <v>43623</v>
      </c>
      <c r="B88" s="33" t="s">
        <v>84</v>
      </c>
      <c r="C88" s="34">
        <v>2163</v>
      </c>
      <c r="D88" s="36">
        <v>56</v>
      </c>
      <c r="E88" s="33">
        <v>1190.44</v>
      </c>
      <c r="F88" s="33">
        <v>1480</v>
      </c>
      <c r="G88" s="34">
        <v>507.44</v>
      </c>
      <c r="H88" s="34">
        <v>0</v>
      </c>
      <c r="I88" s="34">
        <v>2670.44</v>
      </c>
      <c r="J88" s="34">
        <v>408.62</v>
      </c>
      <c r="K88" s="34">
        <v>3079.06</v>
      </c>
      <c r="L88" s="33" t="s">
        <v>14</v>
      </c>
      <c r="M88" s="34">
        <f t="shared" si="13"/>
        <v>39.271176470588237</v>
      </c>
      <c r="N88" s="27">
        <v>68</v>
      </c>
      <c r="O88" s="38">
        <f>(M88*0.5)*16</f>
        <v>314.1694117647059</v>
      </c>
      <c r="P88" s="35">
        <f t="shared" si="16"/>
        <v>47.13</v>
      </c>
      <c r="Q88" s="34">
        <f t="shared" si="14"/>
        <v>471.25411764705882</v>
      </c>
      <c r="R88" s="35"/>
    </row>
    <row r="89" spans="1:18" x14ac:dyDescent="0.3">
      <c r="A89" s="32">
        <v>43637</v>
      </c>
      <c r="B89" s="33" t="s">
        <v>84</v>
      </c>
      <c r="C89" s="34">
        <v>2821</v>
      </c>
      <c r="D89" s="33">
        <v>80</v>
      </c>
      <c r="E89" s="33">
        <v>2009.25</v>
      </c>
      <c r="F89" s="33">
        <v>1480</v>
      </c>
      <c r="G89" s="34">
        <v>318.25</v>
      </c>
      <c r="H89" s="34">
        <v>350</v>
      </c>
      <c r="I89" s="34">
        <v>3489.25</v>
      </c>
      <c r="J89" s="34">
        <v>484.69</v>
      </c>
      <c r="K89" s="34">
        <v>3973.94</v>
      </c>
      <c r="L89" s="33" t="s">
        <v>14</v>
      </c>
      <c r="M89" s="34">
        <f t="shared" si="13"/>
        <v>23.107615894039736</v>
      </c>
      <c r="N89" s="27">
        <v>151</v>
      </c>
      <c r="O89" s="34">
        <f t="shared" ref="O89:O99" si="17">((N89-80)*M89)*0.5</f>
        <v>820.32036423841066</v>
      </c>
      <c r="P89" s="35">
        <f t="shared" si="16"/>
        <v>114.84</v>
      </c>
      <c r="Q89" s="34">
        <f t="shared" si="14"/>
        <v>1230.480546357616</v>
      </c>
      <c r="R89" s="35"/>
    </row>
    <row r="90" spans="1:18" x14ac:dyDescent="0.3">
      <c r="A90" s="32">
        <v>43651</v>
      </c>
      <c r="B90" s="33" t="s">
        <v>84</v>
      </c>
      <c r="C90" s="34">
        <v>2038</v>
      </c>
      <c r="D90" s="33">
        <v>80</v>
      </c>
      <c r="E90" s="33">
        <v>747.64</v>
      </c>
      <c r="F90" s="33">
        <v>2000</v>
      </c>
      <c r="G90" s="34">
        <v>259.64</v>
      </c>
      <c r="H90" s="34">
        <v>450</v>
      </c>
      <c r="I90" s="34">
        <v>2747.64</v>
      </c>
      <c r="J90" s="34">
        <v>415.8</v>
      </c>
      <c r="K90" s="34">
        <v>3163.44</v>
      </c>
      <c r="L90" s="33" t="s">
        <v>14</v>
      </c>
      <c r="M90" s="34">
        <f t="shared" si="13"/>
        <v>23.186835443037975</v>
      </c>
      <c r="N90" s="27">
        <v>118.5</v>
      </c>
      <c r="O90" s="34">
        <f t="shared" si="17"/>
        <v>446.34658227848104</v>
      </c>
      <c r="P90" s="35">
        <f t="shared" si="16"/>
        <v>62.49</v>
      </c>
      <c r="Q90" s="34">
        <f t="shared" si="14"/>
        <v>669.51987341772156</v>
      </c>
      <c r="R90" s="35"/>
    </row>
    <row r="91" spans="1:18" x14ac:dyDescent="0.3">
      <c r="A91" s="32">
        <v>43665</v>
      </c>
      <c r="B91" s="33" t="s">
        <v>84</v>
      </c>
      <c r="C91" s="34">
        <v>1341</v>
      </c>
      <c r="D91" s="33">
        <v>80</v>
      </c>
      <c r="E91" s="33">
        <v>0</v>
      </c>
      <c r="F91" s="33">
        <v>2294.69</v>
      </c>
      <c r="G91" s="34">
        <v>278.69</v>
      </c>
      <c r="H91" s="34">
        <v>675</v>
      </c>
      <c r="I91" s="34">
        <v>2294.69</v>
      </c>
      <c r="J91" s="34">
        <v>373.72</v>
      </c>
      <c r="K91" s="34">
        <v>2668.41</v>
      </c>
      <c r="L91" s="33" t="s">
        <v>14</v>
      </c>
      <c r="M91" s="34">
        <f t="shared" si="13"/>
        <v>23.903020833333333</v>
      </c>
      <c r="N91" s="27">
        <v>96</v>
      </c>
      <c r="O91" s="34">
        <f t="shared" si="17"/>
        <v>191.22416666666666</v>
      </c>
      <c r="P91" s="35">
        <f t="shared" si="16"/>
        <v>24.86</v>
      </c>
      <c r="Q91" s="34">
        <f t="shared" si="14"/>
        <v>286.83625000000001</v>
      </c>
      <c r="R91" s="35"/>
    </row>
    <row r="92" spans="1:18" x14ac:dyDescent="0.3">
      <c r="A92" s="32">
        <v>43679</v>
      </c>
      <c r="B92" s="33" t="s">
        <v>84</v>
      </c>
      <c r="C92" s="34">
        <v>2285</v>
      </c>
      <c r="D92" s="33">
        <v>80</v>
      </c>
      <c r="E92" s="33">
        <v>427.52</v>
      </c>
      <c r="F92" s="33">
        <v>2635</v>
      </c>
      <c r="G92" s="34">
        <v>427.56</v>
      </c>
      <c r="H92" s="34">
        <v>349.96</v>
      </c>
      <c r="I92" s="34">
        <v>3062.52</v>
      </c>
      <c r="J92" s="34">
        <v>445.04</v>
      </c>
      <c r="K92" s="34">
        <v>3507.56</v>
      </c>
      <c r="L92" s="33" t="s">
        <v>14</v>
      </c>
      <c r="M92" s="34">
        <f t="shared" si="13"/>
        <v>24.697741935483872</v>
      </c>
      <c r="N92" s="27">
        <v>124</v>
      </c>
      <c r="O92" s="34">
        <f t="shared" si="17"/>
        <v>543.35032258064518</v>
      </c>
      <c r="P92" s="35">
        <f t="shared" si="16"/>
        <v>70.64</v>
      </c>
      <c r="Q92" s="34">
        <f t="shared" si="14"/>
        <v>815.02548387096772</v>
      </c>
      <c r="R92" s="35"/>
    </row>
    <row r="93" spans="1:18" x14ac:dyDescent="0.3">
      <c r="A93" s="32">
        <v>43693</v>
      </c>
      <c r="B93" s="33" t="s">
        <v>84</v>
      </c>
      <c r="C93" s="34">
        <v>1626</v>
      </c>
      <c r="D93" s="33">
        <v>80</v>
      </c>
      <c r="E93" s="33">
        <v>325.94</v>
      </c>
      <c r="F93" s="33">
        <v>2226</v>
      </c>
      <c r="G93" s="34">
        <v>325.94</v>
      </c>
      <c r="H93" s="34">
        <v>600</v>
      </c>
      <c r="I93" s="34">
        <v>2551.94</v>
      </c>
      <c r="J93" s="34">
        <v>397.61</v>
      </c>
      <c r="K93" s="34">
        <v>2949.55</v>
      </c>
      <c r="L93" s="33" t="s">
        <v>14</v>
      </c>
      <c r="M93" s="34">
        <f t="shared" si="13"/>
        <v>22.385438596491227</v>
      </c>
      <c r="N93" s="27">
        <v>114</v>
      </c>
      <c r="O93" s="34">
        <f t="shared" si="17"/>
        <v>380.55245614035084</v>
      </c>
      <c r="P93" s="35">
        <f t="shared" si="16"/>
        <v>45.67</v>
      </c>
      <c r="Q93" s="34">
        <f t="shared" si="14"/>
        <v>570.82868421052626</v>
      </c>
      <c r="R93" s="35"/>
    </row>
    <row r="94" spans="1:18" x14ac:dyDescent="0.3">
      <c r="A94" s="32">
        <v>43707</v>
      </c>
      <c r="B94" s="33" t="s">
        <v>84</v>
      </c>
      <c r="C94" s="34">
        <v>1876</v>
      </c>
      <c r="D94" s="33">
        <v>80</v>
      </c>
      <c r="E94" s="33">
        <v>325.94</v>
      </c>
      <c r="F94" s="33">
        <v>2226</v>
      </c>
      <c r="G94" s="34">
        <v>325.94</v>
      </c>
      <c r="H94" s="34">
        <v>350</v>
      </c>
      <c r="I94" s="34">
        <v>2551.94</v>
      </c>
      <c r="J94" s="34">
        <v>397.61</v>
      </c>
      <c r="K94" s="34">
        <v>2949.55</v>
      </c>
      <c r="L94" s="33" t="s">
        <v>14</v>
      </c>
      <c r="M94" s="34">
        <f t="shared" si="13"/>
        <v>22.990450450450449</v>
      </c>
      <c r="N94" s="27">
        <v>111</v>
      </c>
      <c r="O94" s="34">
        <f t="shared" si="17"/>
        <v>356.35198198198196</v>
      </c>
      <c r="P94" s="35">
        <f t="shared" si="16"/>
        <v>42.76</v>
      </c>
      <c r="Q94" s="34">
        <f t="shared" si="14"/>
        <v>534.52797297297298</v>
      </c>
      <c r="R94" s="35"/>
    </row>
    <row r="95" spans="1:18" x14ac:dyDescent="0.3">
      <c r="A95" s="32">
        <v>43721</v>
      </c>
      <c r="B95" s="33" t="s">
        <v>84</v>
      </c>
      <c r="C95" s="34">
        <v>1921</v>
      </c>
      <c r="D95" s="33">
        <v>80</v>
      </c>
      <c r="E95" s="33">
        <v>257.98</v>
      </c>
      <c r="F95" s="33">
        <v>1921</v>
      </c>
      <c r="G95" s="34">
        <v>257.98</v>
      </c>
      <c r="H95" s="34">
        <v>0</v>
      </c>
      <c r="I95" s="34">
        <v>2178.98</v>
      </c>
      <c r="J95" s="34">
        <v>336.06</v>
      </c>
      <c r="K95" s="34">
        <v>2515.04</v>
      </c>
      <c r="L95" s="33" t="s">
        <v>14</v>
      </c>
      <c r="M95" s="34">
        <f t="shared" si="13"/>
        <v>20.269581395348837</v>
      </c>
      <c r="N95" s="27">
        <v>107.5</v>
      </c>
      <c r="O95" s="34">
        <f t="shared" si="17"/>
        <v>278.70674418604654</v>
      </c>
      <c r="P95" s="35">
        <f t="shared" si="16"/>
        <v>30.66</v>
      </c>
      <c r="Q95" s="34">
        <f t="shared" si="14"/>
        <v>418.0601162790698</v>
      </c>
      <c r="R95" s="35"/>
    </row>
    <row r="96" spans="1:18" x14ac:dyDescent="0.3">
      <c r="A96" s="32">
        <v>43735</v>
      </c>
      <c r="B96" s="33" t="s">
        <v>84</v>
      </c>
      <c r="C96" s="34">
        <v>2254</v>
      </c>
      <c r="D96" s="33">
        <v>80</v>
      </c>
      <c r="E96" s="33">
        <v>419.86</v>
      </c>
      <c r="F96" s="33">
        <v>2604</v>
      </c>
      <c r="G96" s="34">
        <v>419.86</v>
      </c>
      <c r="H96" s="34">
        <v>350</v>
      </c>
      <c r="I96" s="34">
        <v>3023.86</v>
      </c>
      <c r="J96" s="34">
        <v>391.86</v>
      </c>
      <c r="K96" s="34">
        <v>3415.72</v>
      </c>
      <c r="L96" s="33" t="s">
        <v>14</v>
      </c>
      <c r="M96" s="34">
        <f t="shared" si="13"/>
        <v>24.385967741935485</v>
      </c>
      <c r="N96" s="27">
        <v>124</v>
      </c>
      <c r="O96" s="34">
        <f t="shared" si="17"/>
        <v>536.49129032258065</v>
      </c>
      <c r="P96" s="35">
        <f t="shared" si="16"/>
        <v>59.01</v>
      </c>
      <c r="Q96" s="34">
        <f t="shared" si="14"/>
        <v>804.73693548387098</v>
      </c>
      <c r="R96" s="35"/>
    </row>
    <row r="97" spans="1:18" x14ac:dyDescent="0.3">
      <c r="A97" s="32">
        <v>43749</v>
      </c>
      <c r="B97" s="33" t="s">
        <v>84</v>
      </c>
      <c r="C97" s="34">
        <v>2730</v>
      </c>
      <c r="D97" s="33">
        <v>80</v>
      </c>
      <c r="E97" s="33">
        <v>451.18</v>
      </c>
      <c r="F97" s="33">
        <v>2730</v>
      </c>
      <c r="G97" s="34">
        <v>451.18</v>
      </c>
      <c r="H97" s="34">
        <v>0</v>
      </c>
      <c r="I97" s="34">
        <v>3181.18</v>
      </c>
      <c r="J97" s="34">
        <v>403.9</v>
      </c>
      <c r="K97" s="34">
        <v>3585.08</v>
      </c>
      <c r="L97" s="33" t="s">
        <v>14</v>
      </c>
      <c r="M97" s="34">
        <f t="shared" si="13"/>
        <v>25.247460317460316</v>
      </c>
      <c r="N97" s="27">
        <v>126</v>
      </c>
      <c r="O97" s="34">
        <f t="shared" si="17"/>
        <v>580.69158730158722</v>
      </c>
      <c r="P97" s="35">
        <f t="shared" si="16"/>
        <v>58.07</v>
      </c>
      <c r="Q97" s="34">
        <f t="shared" si="14"/>
        <v>871.03738095238077</v>
      </c>
      <c r="R97" s="35"/>
    </row>
    <row r="98" spans="1:18" x14ac:dyDescent="0.3">
      <c r="A98" s="32">
        <v>43763</v>
      </c>
      <c r="B98" s="33" t="s">
        <v>84</v>
      </c>
      <c r="C98" s="34">
        <v>1603</v>
      </c>
      <c r="D98" s="33">
        <v>80</v>
      </c>
      <c r="E98" s="33">
        <v>264.95999999999998</v>
      </c>
      <c r="F98" s="33">
        <v>1953</v>
      </c>
      <c r="G98" s="34">
        <v>264.95999999999998</v>
      </c>
      <c r="H98" s="34">
        <v>350</v>
      </c>
      <c r="I98" s="34">
        <v>2217.96</v>
      </c>
      <c r="J98" s="34">
        <v>330.22</v>
      </c>
      <c r="K98" s="34">
        <v>2548.1799999999998</v>
      </c>
      <c r="L98" s="33" t="s">
        <v>14</v>
      </c>
      <c r="M98" s="34">
        <f t="shared" si="13"/>
        <v>23.849032258064515</v>
      </c>
      <c r="N98" s="27">
        <v>93</v>
      </c>
      <c r="O98" s="34">
        <f t="shared" si="17"/>
        <v>155.01870967741934</v>
      </c>
      <c r="P98" s="35">
        <f t="shared" si="16"/>
        <v>15.5</v>
      </c>
      <c r="Q98" s="34">
        <f t="shared" si="14"/>
        <v>232.52806451612901</v>
      </c>
      <c r="R98" s="35"/>
    </row>
    <row r="99" spans="1:18" x14ac:dyDescent="0.3">
      <c r="A99" s="32">
        <v>43777</v>
      </c>
      <c r="B99" s="33" t="s">
        <v>84</v>
      </c>
      <c r="C99" s="34">
        <v>2425</v>
      </c>
      <c r="D99" s="33">
        <v>80</v>
      </c>
      <c r="E99" s="33">
        <v>375.38</v>
      </c>
      <c r="F99" s="33">
        <v>2425</v>
      </c>
      <c r="G99" s="34">
        <v>375.38</v>
      </c>
      <c r="H99" s="34">
        <v>0</v>
      </c>
      <c r="I99" s="34">
        <v>2800.38</v>
      </c>
      <c r="J99" s="34">
        <v>374.77</v>
      </c>
      <c r="K99" s="34">
        <v>3175.15</v>
      </c>
      <c r="L99" s="33" t="s">
        <v>14</v>
      </c>
      <c r="M99" s="34">
        <f t="shared" si="13"/>
        <v>25.115515695067266</v>
      </c>
      <c r="N99" s="27">
        <v>111.5</v>
      </c>
      <c r="O99" s="34">
        <f t="shared" si="17"/>
        <v>395.56937219730946</v>
      </c>
      <c r="P99" s="35">
        <f t="shared" si="16"/>
        <v>35.6</v>
      </c>
      <c r="Q99" s="34">
        <f t="shared" si="14"/>
        <v>593.35405829596425</v>
      </c>
      <c r="R99" s="35"/>
    </row>
    <row r="100" spans="1:18" x14ac:dyDescent="0.3">
      <c r="A100" s="32">
        <v>43791</v>
      </c>
      <c r="B100" s="33" t="s">
        <v>84</v>
      </c>
      <c r="C100" s="34">
        <v>1680</v>
      </c>
      <c r="D100" s="36">
        <v>41</v>
      </c>
      <c r="E100" s="33">
        <v>205.42</v>
      </c>
      <c r="F100" s="33">
        <v>1680</v>
      </c>
      <c r="G100" s="34">
        <v>205.42</v>
      </c>
      <c r="H100" s="34">
        <v>0</v>
      </c>
      <c r="I100" s="34">
        <v>1885.42</v>
      </c>
      <c r="J100" s="34">
        <v>304.77</v>
      </c>
      <c r="K100" s="34">
        <v>2190.19</v>
      </c>
      <c r="L100" s="33" t="s">
        <v>14</v>
      </c>
      <c r="M100" s="34">
        <f t="shared" si="13"/>
        <v>23.56775</v>
      </c>
      <c r="N100" s="27">
        <v>80</v>
      </c>
      <c r="O100" s="38">
        <f>(M100*0.5)*1</f>
        <v>11.783875</v>
      </c>
      <c r="P100" s="35">
        <f t="shared" si="16"/>
        <v>1.06</v>
      </c>
      <c r="Q100" s="34">
        <f t="shared" si="14"/>
        <v>17.675812499999999</v>
      </c>
      <c r="R100" s="35"/>
    </row>
    <row r="101" spans="1:18" x14ac:dyDescent="0.3">
      <c r="A101" s="37">
        <v>43805</v>
      </c>
      <c r="B101" s="33" t="s">
        <v>84</v>
      </c>
      <c r="C101" s="34">
        <v>977</v>
      </c>
      <c r="D101" s="36">
        <v>47.5</v>
      </c>
      <c r="E101" s="33">
        <v>129.97999999999999</v>
      </c>
      <c r="F101" s="33">
        <v>977</v>
      </c>
      <c r="G101" s="34">
        <v>129.97999999999999</v>
      </c>
      <c r="H101" s="34">
        <v>0</v>
      </c>
      <c r="I101" s="34">
        <v>1106.98</v>
      </c>
      <c r="J101" s="34">
        <v>245.23</v>
      </c>
      <c r="K101" s="34">
        <v>1352.21</v>
      </c>
      <c r="L101" s="33" t="s">
        <v>14</v>
      </c>
      <c r="M101" s="34">
        <f t="shared" si="13"/>
        <v>23.304842105263159</v>
      </c>
      <c r="N101" s="27">
        <v>47.5</v>
      </c>
      <c r="O101" s="38">
        <f>(M101*0.5)*7.5</f>
        <v>87.393157894736845</v>
      </c>
      <c r="P101" s="35">
        <f t="shared" si="16"/>
        <v>7.87</v>
      </c>
      <c r="Q101" s="34">
        <f t="shared" si="14"/>
        <v>131.08973684210525</v>
      </c>
      <c r="R101" s="35"/>
    </row>
    <row r="102" spans="1:18" x14ac:dyDescent="0.3">
      <c r="A102" s="32">
        <v>43819</v>
      </c>
      <c r="B102" s="33" t="s">
        <v>84</v>
      </c>
      <c r="C102" s="34">
        <v>2226</v>
      </c>
      <c r="D102" s="33">
        <v>80</v>
      </c>
      <c r="E102" s="33">
        <v>325.94</v>
      </c>
      <c r="F102" s="33">
        <v>2226</v>
      </c>
      <c r="G102" s="34">
        <v>325.94</v>
      </c>
      <c r="H102" s="34">
        <v>0</v>
      </c>
      <c r="I102" s="34">
        <v>2551.94</v>
      </c>
      <c r="J102" s="34">
        <v>355.76</v>
      </c>
      <c r="K102" s="34">
        <v>2907.7</v>
      </c>
      <c r="L102" s="33" t="s">
        <v>14</v>
      </c>
      <c r="M102" s="34">
        <f t="shared" si="13"/>
        <v>24.074905660377357</v>
      </c>
      <c r="N102" s="27">
        <v>106</v>
      </c>
      <c r="O102" s="34">
        <f>((N102-80)*M102)*0.5</f>
        <v>312.97377358490564</v>
      </c>
      <c r="P102" s="35">
        <f t="shared" si="16"/>
        <v>25.04</v>
      </c>
      <c r="Q102" s="34">
        <f t="shared" si="14"/>
        <v>469.46066037735847</v>
      </c>
      <c r="R102" s="35"/>
    </row>
    <row r="103" spans="1:18" x14ac:dyDescent="0.3">
      <c r="A103" s="32">
        <v>43833</v>
      </c>
      <c r="B103" s="33" t="s">
        <v>84</v>
      </c>
      <c r="C103" s="34">
        <v>1892</v>
      </c>
      <c r="D103" s="36">
        <v>55</v>
      </c>
      <c r="E103" s="33">
        <v>247.44</v>
      </c>
      <c r="F103" s="33">
        <v>1892</v>
      </c>
      <c r="G103" s="34">
        <v>247.44</v>
      </c>
      <c r="H103" s="34">
        <v>0</v>
      </c>
      <c r="I103" s="34">
        <v>2139.44</v>
      </c>
      <c r="J103" s="34">
        <v>372.14</v>
      </c>
      <c r="K103" s="34">
        <v>2511.58</v>
      </c>
      <c r="L103" s="33" t="s">
        <v>14</v>
      </c>
      <c r="M103" s="34">
        <f t="shared" si="13"/>
        <v>24.877209302325582</v>
      </c>
      <c r="N103" s="27">
        <v>86</v>
      </c>
      <c r="O103" s="38">
        <f>(M103*0.5)*15</f>
        <v>186.57906976744187</v>
      </c>
      <c r="P103" s="35">
        <f t="shared" si="16"/>
        <v>14.93</v>
      </c>
      <c r="Q103" s="34">
        <f t="shared" si="14"/>
        <v>279.8686046511628</v>
      </c>
      <c r="R103" s="35"/>
    </row>
    <row r="104" spans="1:18" x14ac:dyDescent="0.3">
      <c r="A104" s="32">
        <v>43847</v>
      </c>
      <c r="B104" s="33" t="s">
        <v>84</v>
      </c>
      <c r="C104" s="34">
        <v>2310</v>
      </c>
      <c r="D104" s="33">
        <v>80</v>
      </c>
      <c r="E104" s="33">
        <v>0</v>
      </c>
      <c r="F104" s="33">
        <v>2310</v>
      </c>
      <c r="G104" s="34">
        <v>277.97000000000003</v>
      </c>
      <c r="H104" s="34">
        <v>0</v>
      </c>
      <c r="I104" s="34">
        <v>2587.9699999999998</v>
      </c>
      <c r="J104" s="34">
        <v>389</v>
      </c>
      <c r="K104" s="34">
        <v>2976.97</v>
      </c>
      <c r="L104" s="33" t="s">
        <v>14</v>
      </c>
      <c r="M104" s="34">
        <f t="shared" si="13"/>
        <v>21.095890410958905</v>
      </c>
      <c r="N104" s="27">
        <v>109.5</v>
      </c>
      <c r="O104" s="34">
        <f>((N104-80)*M104)*0.5</f>
        <v>311.16438356164383</v>
      </c>
      <c r="P104" s="35">
        <f t="shared" si="16"/>
        <v>21.78</v>
      </c>
      <c r="Q104" s="34">
        <f t="shared" si="14"/>
        <v>466.74657534246575</v>
      </c>
      <c r="R104" s="35"/>
    </row>
    <row r="105" spans="1:18" x14ac:dyDescent="0.3">
      <c r="A105" s="32">
        <v>43861</v>
      </c>
      <c r="B105" s="33" t="s">
        <v>84</v>
      </c>
      <c r="C105" s="34">
        <v>2205</v>
      </c>
      <c r="D105" s="33">
        <v>80</v>
      </c>
      <c r="E105" s="33">
        <v>0</v>
      </c>
      <c r="F105" s="33">
        <v>2205</v>
      </c>
      <c r="G105" s="34">
        <v>259.17</v>
      </c>
      <c r="H105" s="34">
        <v>0</v>
      </c>
      <c r="I105" s="34">
        <v>2464.17</v>
      </c>
      <c r="J105" s="34">
        <v>378.61</v>
      </c>
      <c r="K105" s="34">
        <v>2842.78</v>
      </c>
      <c r="L105" s="33" t="s">
        <v>14</v>
      </c>
      <c r="M105" s="34">
        <f t="shared" si="13"/>
        <v>21</v>
      </c>
      <c r="N105" s="27">
        <v>105</v>
      </c>
      <c r="O105" s="34">
        <f>((N105-80)*M105)*0.5</f>
        <v>262.5</v>
      </c>
      <c r="P105" s="35">
        <f t="shared" si="16"/>
        <v>18.38</v>
      </c>
      <c r="Q105" s="34">
        <f t="shared" si="14"/>
        <v>393.75</v>
      </c>
      <c r="R105" s="35"/>
    </row>
    <row r="106" spans="1:18" x14ac:dyDescent="0.3">
      <c r="A106" s="32">
        <v>43875</v>
      </c>
      <c r="B106" s="33" t="s">
        <v>84</v>
      </c>
      <c r="C106" s="34">
        <v>2226</v>
      </c>
      <c r="D106" s="33">
        <v>80</v>
      </c>
      <c r="E106" s="33">
        <v>0</v>
      </c>
      <c r="F106" s="33">
        <v>2226</v>
      </c>
      <c r="G106" s="34">
        <v>254.11</v>
      </c>
      <c r="H106" s="34">
        <v>0</v>
      </c>
      <c r="I106" s="34">
        <v>2480.11</v>
      </c>
      <c r="J106" s="34">
        <v>321.29000000000002</v>
      </c>
      <c r="K106" s="34">
        <v>2801.4</v>
      </c>
      <c r="L106" s="33" t="s">
        <v>14</v>
      </c>
      <c r="M106" s="34">
        <f t="shared" si="13"/>
        <v>21</v>
      </c>
      <c r="N106" s="27">
        <v>106</v>
      </c>
      <c r="O106" s="34">
        <f>((N106-80)*M106)*0.5</f>
        <v>273</v>
      </c>
      <c r="P106" s="35">
        <f t="shared" si="16"/>
        <v>16.38</v>
      </c>
      <c r="Q106" s="34">
        <f t="shared" si="14"/>
        <v>409.5</v>
      </c>
      <c r="R106" s="35"/>
    </row>
    <row r="107" spans="1:18" x14ac:dyDescent="0.3">
      <c r="A107" s="32">
        <v>43889</v>
      </c>
      <c r="B107" s="33" t="s">
        <v>84</v>
      </c>
      <c r="C107" s="34">
        <v>2310</v>
      </c>
      <c r="D107" s="33">
        <v>80</v>
      </c>
      <c r="E107" s="33">
        <v>0</v>
      </c>
      <c r="F107" s="33">
        <v>2310</v>
      </c>
      <c r="G107" s="34">
        <v>269.14</v>
      </c>
      <c r="H107" s="34">
        <v>0</v>
      </c>
      <c r="I107" s="34">
        <v>2579.14</v>
      </c>
      <c r="J107" s="34">
        <v>327.02</v>
      </c>
      <c r="K107" s="34">
        <v>2906.16</v>
      </c>
      <c r="L107" s="33" t="s">
        <v>14</v>
      </c>
      <c r="M107" s="34">
        <f t="shared" si="13"/>
        <v>21</v>
      </c>
      <c r="N107" s="27">
        <v>110</v>
      </c>
      <c r="O107" s="34">
        <f>((N107-80)*M107)*0.5</f>
        <v>315</v>
      </c>
      <c r="P107" s="35">
        <f t="shared" si="16"/>
        <v>18.899999999999999</v>
      </c>
      <c r="Q107" s="34">
        <f t="shared" si="14"/>
        <v>472.5</v>
      </c>
      <c r="R107" s="35"/>
    </row>
    <row r="108" spans="1:18" x14ac:dyDescent="0.3">
      <c r="A108" s="32">
        <v>43903</v>
      </c>
      <c r="B108" s="33" t="s">
        <v>84</v>
      </c>
      <c r="C108" s="34">
        <v>2215</v>
      </c>
      <c r="D108" s="33">
        <v>80</v>
      </c>
      <c r="E108" s="33">
        <v>0</v>
      </c>
      <c r="F108" s="33">
        <v>2215</v>
      </c>
      <c r="G108" s="34">
        <v>252.14</v>
      </c>
      <c r="H108" s="34">
        <v>0</v>
      </c>
      <c r="I108" s="34">
        <v>2467.14</v>
      </c>
      <c r="J108" s="34">
        <v>318.19</v>
      </c>
      <c r="K108" s="34">
        <v>2785.33</v>
      </c>
      <c r="L108" s="33" t="s">
        <v>14</v>
      </c>
      <c r="M108" s="34">
        <f t="shared" si="13"/>
        <v>20.995260663507111</v>
      </c>
      <c r="N108" s="27">
        <v>105.5</v>
      </c>
      <c r="O108" s="34">
        <f>((N108-80)*M108)*0.5</f>
        <v>267.68957345971569</v>
      </c>
      <c r="P108" s="35">
        <f t="shared" si="16"/>
        <v>13.38</v>
      </c>
      <c r="Q108" s="34">
        <f t="shared" si="14"/>
        <v>401.53436018957353</v>
      </c>
      <c r="R108" s="35"/>
    </row>
    <row r="109" spans="1:18" x14ac:dyDescent="0.3">
      <c r="A109" s="32">
        <v>43917</v>
      </c>
      <c r="B109" s="33" t="s">
        <v>84</v>
      </c>
      <c r="C109" s="34">
        <v>1050</v>
      </c>
      <c r="D109" s="36">
        <v>50</v>
      </c>
      <c r="E109" s="33">
        <v>0</v>
      </c>
      <c r="F109" s="33">
        <v>1050</v>
      </c>
      <c r="G109" s="34">
        <v>104.03</v>
      </c>
      <c r="H109" s="34">
        <v>0</v>
      </c>
      <c r="I109" s="34">
        <v>1154.03</v>
      </c>
      <c r="J109" s="34">
        <v>167.8</v>
      </c>
      <c r="K109" s="34">
        <v>1321.83</v>
      </c>
      <c r="L109" s="33" t="s">
        <v>14</v>
      </c>
      <c r="M109" s="34">
        <f t="shared" si="13"/>
        <v>21</v>
      </c>
      <c r="N109" s="27">
        <v>50</v>
      </c>
      <c r="O109" s="34">
        <v>0</v>
      </c>
      <c r="P109" s="35">
        <f t="shared" si="16"/>
        <v>0</v>
      </c>
      <c r="Q109" s="34">
        <f t="shared" si="14"/>
        <v>0</v>
      </c>
      <c r="R109" s="35"/>
    </row>
    <row r="110" spans="1:18" x14ac:dyDescent="0.3">
      <c r="A110" s="37" t="s">
        <v>77</v>
      </c>
      <c r="B110" s="33" t="s">
        <v>85</v>
      </c>
      <c r="C110" s="34">
        <v>2929</v>
      </c>
      <c r="D110" s="33">
        <v>80</v>
      </c>
      <c r="E110" s="33">
        <v>257.64</v>
      </c>
      <c r="F110" s="33">
        <v>2960</v>
      </c>
      <c r="G110" s="34">
        <v>288.64</v>
      </c>
      <c r="H110" s="34">
        <v>0</v>
      </c>
      <c r="I110" s="34">
        <v>3217.64</v>
      </c>
      <c r="J110" s="34">
        <v>484.24</v>
      </c>
      <c r="K110" s="34">
        <v>3701.88</v>
      </c>
      <c r="L110" s="33" t="s">
        <v>14</v>
      </c>
      <c r="M110" s="34" t="e">
        <f t="shared" si="13"/>
        <v>#DIV/0!</v>
      </c>
      <c r="N110" s="27"/>
      <c r="O110" s="34" t="e">
        <f t="shared" ref="O110:O117" si="18">((N110-80)*M110)*0.5</f>
        <v>#DIV/0!</v>
      </c>
      <c r="P110" s="35" t="e">
        <f t="shared" si="16"/>
        <v>#VALUE!</v>
      </c>
      <c r="Q110" s="34" t="e">
        <f t="shared" si="14"/>
        <v>#DIV/0!</v>
      </c>
      <c r="R110" s="35">
        <v>409.55</v>
      </c>
    </row>
    <row r="111" spans="1:18" x14ac:dyDescent="0.3">
      <c r="A111" s="37" t="s">
        <v>77</v>
      </c>
      <c r="B111" s="33" t="s">
        <v>85</v>
      </c>
      <c r="C111" s="34">
        <v>1703</v>
      </c>
      <c r="D111" s="33">
        <v>70.5</v>
      </c>
      <c r="E111" s="33">
        <v>185.87</v>
      </c>
      <c r="F111" s="33">
        <v>2256</v>
      </c>
      <c r="G111" s="34">
        <v>538.87</v>
      </c>
      <c r="H111" s="34">
        <v>200</v>
      </c>
      <c r="I111" s="34">
        <v>2441.87</v>
      </c>
      <c r="J111" s="34">
        <v>387.12</v>
      </c>
      <c r="K111" s="34">
        <v>2828.99</v>
      </c>
      <c r="L111" s="33" t="s">
        <v>14</v>
      </c>
      <c r="M111" s="34" t="e">
        <f t="shared" si="13"/>
        <v>#DIV/0!</v>
      </c>
      <c r="N111" s="27"/>
      <c r="O111" s="34" t="e">
        <f t="shared" si="18"/>
        <v>#DIV/0!</v>
      </c>
      <c r="P111" s="35" t="e">
        <f t="shared" si="16"/>
        <v>#VALUE!</v>
      </c>
      <c r="Q111" s="34" t="e">
        <f t="shared" si="14"/>
        <v>#DIV/0!</v>
      </c>
      <c r="R111" s="35"/>
    </row>
    <row r="112" spans="1:18" x14ac:dyDescent="0.3">
      <c r="A112" s="37" t="s">
        <v>77</v>
      </c>
      <c r="B112" s="33" t="s">
        <v>85</v>
      </c>
      <c r="C112" s="34">
        <v>3064</v>
      </c>
      <c r="D112" s="33">
        <v>102</v>
      </c>
      <c r="E112" s="33">
        <v>1074.73</v>
      </c>
      <c r="F112" s="33">
        <v>3060</v>
      </c>
      <c r="G112" s="34">
        <v>1070.73</v>
      </c>
      <c r="H112" s="34">
        <v>0</v>
      </c>
      <c r="I112" s="34">
        <v>4134.7299999999996</v>
      </c>
      <c r="J112" s="34">
        <v>603.87</v>
      </c>
      <c r="K112" s="34">
        <v>4738.6000000000004</v>
      </c>
      <c r="L112" s="33">
        <v>100112</v>
      </c>
      <c r="M112" s="34" t="e">
        <f t="shared" si="13"/>
        <v>#DIV/0!</v>
      </c>
      <c r="N112" s="27"/>
      <c r="O112" s="34" t="e">
        <f t="shared" si="18"/>
        <v>#DIV/0!</v>
      </c>
      <c r="P112" s="35" t="e">
        <f t="shared" ref="P112:P126" si="19">ROUND(((ROUNDDOWN(($T$1-A112)/30,0))/100)*O112,2)</f>
        <v>#VALUE!</v>
      </c>
      <c r="Q112" s="34" t="e">
        <f t="shared" si="14"/>
        <v>#DIV/0!</v>
      </c>
      <c r="R112" s="35"/>
    </row>
    <row r="113" spans="1:18" x14ac:dyDescent="0.3">
      <c r="A113" s="37" t="s">
        <v>77</v>
      </c>
      <c r="B113" s="33" t="s">
        <v>85</v>
      </c>
      <c r="C113" s="34">
        <v>2687</v>
      </c>
      <c r="D113" s="33">
        <v>80</v>
      </c>
      <c r="E113" s="33">
        <v>296.02999999999997</v>
      </c>
      <c r="F113" s="33">
        <v>2912</v>
      </c>
      <c r="G113" s="34">
        <v>296.02999999999997</v>
      </c>
      <c r="H113" s="34">
        <v>225</v>
      </c>
      <c r="I113" s="34">
        <v>3208.03</v>
      </c>
      <c r="J113" s="34">
        <v>483.27</v>
      </c>
      <c r="K113" s="34">
        <v>3691.3</v>
      </c>
      <c r="L113" s="33" t="s">
        <v>14</v>
      </c>
      <c r="M113" s="34" t="e">
        <f t="shared" si="13"/>
        <v>#DIV/0!</v>
      </c>
      <c r="N113" s="27"/>
      <c r="O113" s="34" t="e">
        <f t="shared" si="18"/>
        <v>#DIV/0!</v>
      </c>
      <c r="P113" s="35" t="e">
        <f t="shared" si="19"/>
        <v>#VALUE!</v>
      </c>
      <c r="Q113" s="34" t="e">
        <f t="shared" si="14"/>
        <v>#DIV/0!</v>
      </c>
      <c r="R113" s="35"/>
    </row>
    <row r="114" spans="1:18" x14ac:dyDescent="0.3">
      <c r="A114" s="37" t="s">
        <v>77</v>
      </c>
      <c r="B114" s="33" t="s">
        <v>85</v>
      </c>
      <c r="C114" s="34">
        <v>2996</v>
      </c>
      <c r="D114" s="33">
        <v>0</v>
      </c>
      <c r="E114" s="33">
        <v>2996</v>
      </c>
      <c r="F114" s="33">
        <v>0</v>
      </c>
      <c r="G114" s="34">
        <v>966.14</v>
      </c>
      <c r="H114" s="34">
        <v>0</v>
      </c>
      <c r="I114" s="34">
        <v>3962.14</v>
      </c>
      <c r="J114" s="34">
        <v>397.57</v>
      </c>
      <c r="K114" s="34">
        <v>4359.71</v>
      </c>
      <c r="L114" s="33" t="s">
        <v>14</v>
      </c>
      <c r="M114" s="34" t="e">
        <f t="shared" si="13"/>
        <v>#DIV/0!</v>
      </c>
      <c r="N114" s="27"/>
      <c r="O114" s="34" t="e">
        <f t="shared" si="18"/>
        <v>#DIV/0!</v>
      </c>
      <c r="P114" s="35" t="e">
        <f t="shared" si="19"/>
        <v>#VALUE!</v>
      </c>
      <c r="Q114" s="34" t="e">
        <f t="shared" si="14"/>
        <v>#DIV/0!</v>
      </c>
      <c r="R114" s="35"/>
    </row>
    <row r="115" spans="1:18" x14ac:dyDescent="0.3">
      <c r="A115" s="37" t="s">
        <v>77</v>
      </c>
      <c r="B115" s="33" t="s">
        <v>85</v>
      </c>
      <c r="C115" s="34">
        <v>3122</v>
      </c>
      <c r="D115" s="33">
        <v>80</v>
      </c>
      <c r="E115" s="33">
        <v>1809.59</v>
      </c>
      <c r="F115" s="33">
        <v>2400</v>
      </c>
      <c r="G115" s="34">
        <v>1087.5899999999999</v>
      </c>
      <c r="H115" s="34">
        <v>0</v>
      </c>
      <c r="I115" s="34">
        <v>4209.59</v>
      </c>
      <c r="J115" s="34">
        <v>558.77</v>
      </c>
      <c r="K115" s="34">
        <v>4768.3599999999997</v>
      </c>
      <c r="L115" s="33" t="s">
        <v>14</v>
      </c>
      <c r="M115" s="34" t="e">
        <f t="shared" si="13"/>
        <v>#DIV/0!</v>
      </c>
      <c r="N115" s="27"/>
      <c r="O115" s="34" t="e">
        <f t="shared" si="18"/>
        <v>#DIV/0!</v>
      </c>
      <c r="P115" s="35" t="e">
        <f t="shared" si="19"/>
        <v>#VALUE!</v>
      </c>
      <c r="Q115" s="34" t="e">
        <f t="shared" si="14"/>
        <v>#DIV/0!</v>
      </c>
      <c r="R115" s="35"/>
    </row>
    <row r="116" spans="1:18" x14ac:dyDescent="0.3">
      <c r="A116" s="37" t="s">
        <v>77</v>
      </c>
      <c r="B116" s="33" t="s">
        <v>85</v>
      </c>
      <c r="C116" s="34">
        <v>3080</v>
      </c>
      <c r="D116" s="33">
        <v>80</v>
      </c>
      <c r="E116" s="33">
        <v>1747.88</v>
      </c>
      <c r="F116" s="33">
        <v>2400</v>
      </c>
      <c r="G116" s="34">
        <v>1067.8800000000001</v>
      </c>
      <c r="H116" s="34">
        <v>0</v>
      </c>
      <c r="I116" s="34">
        <v>4147.88</v>
      </c>
      <c r="J116" s="34">
        <v>552.91</v>
      </c>
      <c r="K116" s="34">
        <v>4700.79</v>
      </c>
      <c r="L116" s="33" t="s">
        <v>14</v>
      </c>
      <c r="M116" s="34" t="e">
        <f t="shared" si="13"/>
        <v>#DIV/0!</v>
      </c>
      <c r="N116" s="27"/>
      <c r="O116" s="34" t="e">
        <f t="shared" si="18"/>
        <v>#DIV/0!</v>
      </c>
      <c r="P116" s="35" t="e">
        <f t="shared" si="19"/>
        <v>#VALUE!</v>
      </c>
      <c r="Q116" s="34" t="e">
        <f t="shared" si="14"/>
        <v>#DIV/0!</v>
      </c>
      <c r="R116" s="35"/>
    </row>
    <row r="117" spans="1:18" x14ac:dyDescent="0.3">
      <c r="A117" s="37" t="s">
        <v>77</v>
      </c>
      <c r="B117" s="33" t="s">
        <v>85</v>
      </c>
      <c r="C117" s="34">
        <v>3080</v>
      </c>
      <c r="D117" s="33">
        <v>80</v>
      </c>
      <c r="E117" s="33">
        <v>1747.93</v>
      </c>
      <c r="F117" s="33">
        <v>2400</v>
      </c>
      <c r="G117" s="34">
        <v>1067.93</v>
      </c>
      <c r="H117" s="34">
        <v>0</v>
      </c>
      <c r="I117" s="34">
        <v>4147.93</v>
      </c>
      <c r="J117" s="34">
        <v>552.95000000000005</v>
      </c>
      <c r="K117" s="34">
        <v>4700.88</v>
      </c>
      <c r="L117" s="33" t="s">
        <v>14</v>
      </c>
      <c r="M117" s="34" t="e">
        <f t="shared" si="13"/>
        <v>#DIV/0!</v>
      </c>
      <c r="N117" s="27"/>
      <c r="O117" s="34" t="e">
        <f t="shared" si="18"/>
        <v>#DIV/0!</v>
      </c>
      <c r="P117" s="35" t="e">
        <f t="shared" si="19"/>
        <v>#VALUE!</v>
      </c>
      <c r="Q117" s="34" t="e">
        <f t="shared" si="14"/>
        <v>#DIV/0!</v>
      </c>
      <c r="R117" s="35"/>
    </row>
    <row r="118" spans="1:18" x14ac:dyDescent="0.3">
      <c r="A118" s="32">
        <v>43623</v>
      </c>
      <c r="B118" s="33" t="s">
        <v>85</v>
      </c>
      <c r="C118" s="34">
        <v>1039</v>
      </c>
      <c r="D118" s="36">
        <v>40</v>
      </c>
      <c r="E118" s="33">
        <v>294.92</v>
      </c>
      <c r="F118" s="33">
        <v>1530</v>
      </c>
      <c r="G118" s="34">
        <v>345.92</v>
      </c>
      <c r="H118" s="34">
        <v>440</v>
      </c>
      <c r="I118" s="34">
        <v>1824.92</v>
      </c>
      <c r="J118" s="34">
        <v>271.86</v>
      </c>
      <c r="K118" s="34">
        <v>2096.7800000000002</v>
      </c>
      <c r="L118" s="33" t="s">
        <v>14</v>
      </c>
      <c r="M118" s="34">
        <f t="shared" si="13"/>
        <v>45.623000000000005</v>
      </c>
      <c r="N118" s="27">
        <v>40</v>
      </c>
      <c r="O118" s="34">
        <v>0</v>
      </c>
      <c r="P118" s="35">
        <f t="shared" si="19"/>
        <v>0</v>
      </c>
      <c r="Q118" s="34">
        <f t="shared" si="14"/>
        <v>0</v>
      </c>
      <c r="R118" s="35"/>
    </row>
    <row r="119" spans="1:18" x14ac:dyDescent="0.3">
      <c r="A119" s="32">
        <v>43637</v>
      </c>
      <c r="B119" s="33" t="s">
        <v>85</v>
      </c>
      <c r="C119" s="34">
        <v>2760</v>
      </c>
      <c r="D119" s="33">
        <v>80</v>
      </c>
      <c r="E119" s="33">
        <v>1392.93</v>
      </c>
      <c r="F119" s="33">
        <v>2400</v>
      </c>
      <c r="G119" s="34">
        <v>572.92999999999995</v>
      </c>
      <c r="H119" s="34">
        <v>460</v>
      </c>
      <c r="I119" s="34">
        <v>3792.93</v>
      </c>
      <c r="J119" s="34">
        <v>512.9</v>
      </c>
      <c r="K119" s="34">
        <v>4305.83</v>
      </c>
      <c r="L119" s="33" t="s">
        <v>14</v>
      </c>
      <c r="M119" s="34">
        <f t="shared" si="13"/>
        <v>32.981999999999999</v>
      </c>
      <c r="N119" s="27">
        <v>115</v>
      </c>
      <c r="O119" s="34">
        <f>((N119-80)*M119)*0.5</f>
        <v>577.18499999999995</v>
      </c>
      <c r="P119" s="35">
        <f t="shared" si="19"/>
        <v>80.81</v>
      </c>
      <c r="Q119" s="34">
        <f t="shared" si="14"/>
        <v>865.77749999999992</v>
      </c>
      <c r="R119" s="35"/>
    </row>
    <row r="120" spans="1:18" x14ac:dyDescent="0.3">
      <c r="A120" s="32">
        <v>43651</v>
      </c>
      <c r="B120" s="33" t="s">
        <v>85</v>
      </c>
      <c r="C120" s="34">
        <v>508</v>
      </c>
      <c r="D120" s="36">
        <v>70.5</v>
      </c>
      <c r="E120" s="33">
        <v>25.47</v>
      </c>
      <c r="F120" s="33">
        <v>780</v>
      </c>
      <c r="G120" s="34">
        <v>77.47</v>
      </c>
      <c r="H120" s="34">
        <v>220</v>
      </c>
      <c r="I120" s="34">
        <v>805.47</v>
      </c>
      <c r="J120" s="34">
        <v>127</v>
      </c>
      <c r="K120" s="34">
        <v>932.47</v>
      </c>
      <c r="L120" s="33" t="s">
        <v>14</v>
      </c>
      <c r="M120" s="38">
        <v>16</v>
      </c>
      <c r="N120" s="27">
        <v>70.5</v>
      </c>
      <c r="O120" s="34">
        <v>0</v>
      </c>
      <c r="P120" s="35">
        <f t="shared" si="19"/>
        <v>0</v>
      </c>
      <c r="Q120" s="34">
        <f t="shared" si="14"/>
        <v>0</v>
      </c>
      <c r="R120" s="35"/>
    </row>
    <row r="121" spans="1:18" x14ac:dyDescent="0.3">
      <c r="A121" s="32">
        <v>43659</v>
      </c>
      <c r="B121" s="33" t="s">
        <v>83</v>
      </c>
      <c r="C121" s="34"/>
      <c r="D121" s="31">
        <v>68.5</v>
      </c>
      <c r="E121" s="33"/>
      <c r="F121" s="33"/>
      <c r="G121" s="34"/>
      <c r="H121" s="34"/>
      <c r="I121" s="34"/>
      <c r="J121" s="34"/>
      <c r="K121" s="34"/>
      <c r="L121" s="33"/>
      <c r="M121" s="34"/>
      <c r="N121" s="27"/>
      <c r="O121" s="34"/>
      <c r="P121" s="35">
        <f t="shared" si="19"/>
        <v>0</v>
      </c>
      <c r="Q121" s="34"/>
      <c r="R121" s="35"/>
    </row>
    <row r="122" spans="1:18" x14ac:dyDescent="0.3">
      <c r="A122" s="32">
        <v>43679</v>
      </c>
      <c r="B122" s="33" t="s">
        <v>85</v>
      </c>
      <c r="C122" s="34">
        <v>2310</v>
      </c>
      <c r="D122" s="33">
        <v>80</v>
      </c>
      <c r="E122" s="33">
        <v>431.05</v>
      </c>
      <c r="F122" s="33">
        <v>2800</v>
      </c>
      <c r="G122" s="34">
        <v>461.1</v>
      </c>
      <c r="H122" s="34">
        <v>459.95</v>
      </c>
      <c r="I122" s="34">
        <v>3231.05</v>
      </c>
      <c r="J122" s="34">
        <v>460.71</v>
      </c>
      <c r="K122" s="34">
        <v>3691.76</v>
      </c>
      <c r="L122" s="33" t="s">
        <v>14</v>
      </c>
      <c r="M122" s="34">
        <f>(E122+F122)/N122</f>
        <v>30.196728971962617</v>
      </c>
      <c r="N122" s="27">
        <v>107</v>
      </c>
      <c r="O122" s="34">
        <f>((N122-80)*M122)*0.5</f>
        <v>407.65584112149531</v>
      </c>
      <c r="P122" s="35">
        <f t="shared" si="19"/>
        <v>53</v>
      </c>
      <c r="Q122" s="34">
        <f>O122*1.5</f>
        <v>611.48376168224297</v>
      </c>
      <c r="R122" s="35"/>
    </row>
    <row r="123" spans="1:18" x14ac:dyDescent="0.3">
      <c r="A123" s="32">
        <v>43693</v>
      </c>
      <c r="B123" s="33" t="s">
        <v>85</v>
      </c>
      <c r="C123" s="34">
        <v>2450</v>
      </c>
      <c r="D123" s="33">
        <v>80</v>
      </c>
      <c r="E123" s="33">
        <v>416.4</v>
      </c>
      <c r="F123" s="33">
        <v>2590</v>
      </c>
      <c r="G123" s="34">
        <v>416.4</v>
      </c>
      <c r="H123" s="34">
        <v>140</v>
      </c>
      <c r="I123" s="34">
        <v>3006.4</v>
      </c>
      <c r="J123" s="34">
        <v>439.84</v>
      </c>
      <c r="K123" s="34">
        <v>3446.24</v>
      </c>
      <c r="L123" s="33" t="s">
        <v>14</v>
      </c>
      <c r="M123" s="34">
        <f>(E123+F123)/N123</f>
        <v>30.36767676767677</v>
      </c>
      <c r="N123" s="27">
        <v>99</v>
      </c>
      <c r="O123" s="34">
        <f>((N123-80)*M123)*0.5</f>
        <v>288.49292929292932</v>
      </c>
      <c r="P123" s="35">
        <f t="shared" si="19"/>
        <v>34.619999999999997</v>
      </c>
      <c r="Q123" s="34">
        <f>O123*1.5</f>
        <v>432.73939393939395</v>
      </c>
      <c r="R123" s="35"/>
    </row>
    <row r="124" spans="1:18" x14ac:dyDescent="0.3">
      <c r="A124" s="32">
        <v>43701</v>
      </c>
      <c r="B124" s="33" t="s">
        <v>85</v>
      </c>
      <c r="C124" s="34"/>
      <c r="D124" s="31">
        <v>134</v>
      </c>
      <c r="E124" s="33"/>
      <c r="F124" s="33"/>
      <c r="G124" s="34"/>
      <c r="H124" s="34"/>
      <c r="I124" s="34"/>
      <c r="J124" s="34"/>
      <c r="K124" s="34"/>
      <c r="L124" s="33"/>
      <c r="M124" s="34"/>
      <c r="N124" s="27"/>
      <c r="O124" s="34"/>
      <c r="P124" s="35">
        <f t="shared" si="19"/>
        <v>0</v>
      </c>
      <c r="Q124" s="34"/>
      <c r="R124" s="35"/>
    </row>
    <row r="125" spans="1:18" x14ac:dyDescent="0.3">
      <c r="A125" s="32">
        <v>43715</v>
      </c>
      <c r="B125" s="33" t="s">
        <v>85</v>
      </c>
      <c r="C125" s="34"/>
      <c r="D125" s="31">
        <v>93.5</v>
      </c>
      <c r="E125" s="33"/>
      <c r="F125" s="33"/>
      <c r="G125" s="34"/>
      <c r="H125" s="34"/>
      <c r="I125" s="34"/>
      <c r="J125" s="34"/>
      <c r="K125" s="34"/>
      <c r="L125" s="33"/>
      <c r="M125" s="34"/>
      <c r="N125" s="27"/>
      <c r="O125" s="34"/>
      <c r="P125" s="35">
        <f t="shared" si="19"/>
        <v>0</v>
      </c>
      <c r="Q125" s="34"/>
      <c r="R125" s="35"/>
    </row>
    <row r="126" spans="1:18" x14ac:dyDescent="0.3">
      <c r="A126" s="32">
        <v>43729</v>
      </c>
      <c r="B126" s="33" t="s">
        <v>85</v>
      </c>
      <c r="C126" s="34"/>
      <c r="D126" s="31">
        <v>99.5</v>
      </c>
      <c r="E126" s="33"/>
      <c r="F126" s="33"/>
      <c r="G126" s="34"/>
      <c r="H126" s="34"/>
      <c r="I126" s="34"/>
      <c r="J126" s="34"/>
      <c r="K126" s="34"/>
      <c r="L126" s="33"/>
      <c r="M126" s="34"/>
      <c r="N126" s="27"/>
      <c r="O126" s="34"/>
      <c r="P126" s="35">
        <f t="shared" si="19"/>
        <v>0</v>
      </c>
      <c r="Q126" s="34"/>
      <c r="R126" s="35"/>
    </row>
    <row r="127" spans="1:18" x14ac:dyDescent="0.3">
      <c r="A127" s="32">
        <v>43154</v>
      </c>
      <c r="B127" s="33" t="s">
        <v>86</v>
      </c>
      <c r="C127" s="34"/>
      <c r="D127" s="31">
        <v>36</v>
      </c>
      <c r="E127" s="33"/>
      <c r="F127" s="33"/>
      <c r="G127" s="34"/>
      <c r="H127" s="34"/>
      <c r="I127" s="34"/>
      <c r="J127" s="34"/>
      <c r="K127" s="34"/>
      <c r="L127" s="33"/>
      <c r="M127" s="34"/>
      <c r="N127" s="31">
        <v>36</v>
      </c>
      <c r="P127" s="35"/>
      <c r="Q127" s="34"/>
      <c r="R127" s="35"/>
    </row>
    <row r="128" spans="1:18" x14ac:dyDescent="0.3">
      <c r="A128" s="32">
        <v>43169</v>
      </c>
      <c r="B128" s="33" t="s">
        <v>86</v>
      </c>
      <c r="C128" s="34"/>
      <c r="D128" s="31">
        <v>53</v>
      </c>
      <c r="E128" s="33"/>
      <c r="F128" s="33"/>
      <c r="G128" s="34"/>
      <c r="H128" s="34"/>
      <c r="I128" s="34"/>
      <c r="J128" s="34"/>
      <c r="K128" s="34"/>
      <c r="L128" s="33"/>
      <c r="M128" s="34"/>
      <c r="N128" s="31">
        <v>53</v>
      </c>
      <c r="P128" s="35"/>
      <c r="Q128" s="34"/>
      <c r="R128" s="35"/>
    </row>
    <row r="129" spans="1:18" x14ac:dyDescent="0.3">
      <c r="A129" s="32">
        <v>43197</v>
      </c>
      <c r="B129" s="33" t="s">
        <v>86</v>
      </c>
      <c r="C129" s="34"/>
      <c r="D129" s="31">
        <v>106</v>
      </c>
      <c r="E129" s="33"/>
      <c r="F129" s="33"/>
      <c r="G129" s="34"/>
      <c r="H129" s="34"/>
      <c r="I129" s="34"/>
      <c r="J129" s="34"/>
      <c r="K129" s="34"/>
      <c r="L129" s="33"/>
      <c r="M129" s="34"/>
      <c r="N129" s="31">
        <v>106</v>
      </c>
      <c r="P129" s="35"/>
      <c r="Q129" s="34"/>
      <c r="R129" s="35"/>
    </row>
    <row r="130" spans="1:18" x14ac:dyDescent="0.3">
      <c r="A130" s="32">
        <v>43211</v>
      </c>
      <c r="B130" s="33" t="s">
        <v>86</v>
      </c>
      <c r="C130" s="34"/>
      <c r="D130" s="31">
        <v>106</v>
      </c>
      <c r="E130" s="33"/>
      <c r="F130" s="33"/>
      <c r="G130" s="34"/>
      <c r="H130" s="34"/>
      <c r="I130" s="34"/>
      <c r="J130" s="34"/>
      <c r="K130" s="34"/>
      <c r="L130" s="33"/>
      <c r="M130" s="34"/>
      <c r="N130" s="31">
        <v>106</v>
      </c>
      <c r="P130" s="35"/>
      <c r="Q130" s="34"/>
      <c r="R130" s="35"/>
    </row>
    <row r="131" spans="1:18" x14ac:dyDescent="0.3">
      <c r="A131" s="32">
        <v>43225</v>
      </c>
      <c r="B131" s="33" t="s">
        <v>86</v>
      </c>
      <c r="C131" s="34"/>
      <c r="D131" s="31">
        <v>106</v>
      </c>
      <c r="E131" s="33"/>
      <c r="F131" s="33"/>
      <c r="G131" s="34"/>
      <c r="H131" s="34"/>
      <c r="I131" s="34"/>
      <c r="J131" s="34"/>
      <c r="K131" s="34"/>
      <c r="L131" s="33"/>
      <c r="M131" s="34"/>
      <c r="N131" s="31">
        <v>106</v>
      </c>
      <c r="P131" s="35"/>
      <c r="Q131" s="34"/>
      <c r="R131" s="35"/>
    </row>
    <row r="132" spans="1:18" x14ac:dyDescent="0.3">
      <c r="A132" s="32">
        <v>43239</v>
      </c>
      <c r="B132" s="33" t="s">
        <v>86</v>
      </c>
      <c r="C132" s="34"/>
      <c r="D132" s="31">
        <v>103</v>
      </c>
      <c r="E132" s="33"/>
      <c r="F132" s="33"/>
      <c r="G132" s="34"/>
      <c r="H132" s="34"/>
      <c r="I132" s="34"/>
      <c r="J132" s="34"/>
      <c r="K132" s="34"/>
      <c r="L132" s="33"/>
      <c r="M132" s="34"/>
      <c r="N132" s="31">
        <v>103</v>
      </c>
      <c r="P132" s="35"/>
      <c r="Q132" s="34"/>
      <c r="R132" s="35"/>
    </row>
    <row r="133" spans="1:18" x14ac:dyDescent="0.3">
      <c r="A133" s="32">
        <v>43253</v>
      </c>
      <c r="B133" s="33" t="s">
        <v>86</v>
      </c>
      <c r="C133" s="34"/>
      <c r="D133" s="31">
        <v>92</v>
      </c>
      <c r="E133" s="33"/>
      <c r="F133" s="33"/>
      <c r="G133" s="34"/>
      <c r="H133" s="34"/>
      <c r="I133" s="34"/>
      <c r="J133" s="34"/>
      <c r="K133" s="34"/>
      <c r="L133" s="33"/>
      <c r="M133" s="34"/>
      <c r="N133" s="31">
        <v>92</v>
      </c>
      <c r="P133" s="35"/>
      <c r="Q133" s="34"/>
      <c r="R133" s="35"/>
    </row>
    <row r="134" spans="1:18" x14ac:dyDescent="0.3">
      <c r="A134" s="32">
        <v>43267</v>
      </c>
      <c r="B134" s="33" t="s">
        <v>86</v>
      </c>
      <c r="C134" s="34"/>
      <c r="D134" s="31">
        <v>106</v>
      </c>
      <c r="E134" s="33"/>
      <c r="F134" s="33"/>
      <c r="G134" s="34"/>
      <c r="H134" s="34"/>
      <c r="I134" s="34"/>
      <c r="J134" s="34"/>
      <c r="K134" s="34"/>
      <c r="L134" s="33"/>
      <c r="M134" s="34"/>
      <c r="N134" s="31">
        <v>106</v>
      </c>
      <c r="P134" s="35"/>
      <c r="Q134" s="34"/>
      <c r="R134" s="35"/>
    </row>
    <row r="135" spans="1:18" x14ac:dyDescent="0.3">
      <c r="A135" s="32">
        <v>43281</v>
      </c>
      <c r="B135" s="33" t="s">
        <v>86</v>
      </c>
      <c r="C135" s="34"/>
      <c r="D135" s="31">
        <v>103</v>
      </c>
      <c r="E135" s="33"/>
      <c r="F135" s="33"/>
      <c r="G135" s="34"/>
      <c r="H135" s="34"/>
      <c r="I135" s="34"/>
      <c r="J135" s="34"/>
      <c r="K135" s="34"/>
      <c r="L135" s="33"/>
      <c r="M135" s="34"/>
      <c r="N135" s="31">
        <v>103</v>
      </c>
      <c r="P135" s="35"/>
      <c r="Q135" s="34"/>
      <c r="R135" s="35"/>
    </row>
    <row r="136" spans="1:18" x14ac:dyDescent="0.3">
      <c r="A136" s="32">
        <v>43295</v>
      </c>
      <c r="B136" s="33" t="s">
        <v>86</v>
      </c>
      <c r="C136" s="34"/>
      <c r="D136" s="31">
        <v>72</v>
      </c>
      <c r="E136" s="33"/>
      <c r="F136" s="33"/>
      <c r="G136" s="34"/>
      <c r="H136" s="34"/>
      <c r="I136" s="34"/>
      <c r="J136" s="34"/>
      <c r="K136" s="34"/>
      <c r="L136" s="33"/>
      <c r="M136" s="34"/>
      <c r="N136" s="31">
        <v>72</v>
      </c>
      <c r="P136" s="35"/>
      <c r="Q136" s="34"/>
      <c r="R136" s="35"/>
    </row>
    <row r="137" spans="1:18" x14ac:dyDescent="0.3">
      <c r="A137" s="32">
        <v>43309</v>
      </c>
      <c r="B137" s="33" t="s">
        <v>86</v>
      </c>
      <c r="C137" s="34"/>
      <c r="D137" s="31">
        <v>87</v>
      </c>
      <c r="E137" s="33"/>
      <c r="F137" s="33"/>
      <c r="G137" s="34"/>
      <c r="H137" s="34"/>
      <c r="I137" s="34"/>
      <c r="J137" s="34"/>
      <c r="K137" s="34"/>
      <c r="L137" s="33"/>
      <c r="M137" s="34"/>
      <c r="N137" s="31">
        <v>87</v>
      </c>
      <c r="P137" s="35"/>
      <c r="Q137" s="34"/>
      <c r="R137" s="35"/>
    </row>
    <row r="138" spans="1:18" x14ac:dyDescent="0.3">
      <c r="A138" s="32">
        <v>43323</v>
      </c>
      <c r="B138" s="33" t="s">
        <v>86</v>
      </c>
      <c r="C138" s="34"/>
      <c r="D138" s="31">
        <v>89</v>
      </c>
      <c r="E138" s="33"/>
      <c r="F138" s="33"/>
      <c r="G138" s="34"/>
      <c r="H138" s="34"/>
      <c r="I138" s="34"/>
      <c r="J138" s="34"/>
      <c r="K138" s="34"/>
      <c r="L138" s="33"/>
      <c r="M138" s="34"/>
      <c r="N138" s="31">
        <v>89</v>
      </c>
      <c r="P138" s="35"/>
      <c r="Q138" s="34"/>
      <c r="R138" s="35"/>
    </row>
    <row r="139" spans="1:18" x14ac:dyDescent="0.3">
      <c r="A139" s="32">
        <v>43337</v>
      </c>
      <c r="B139" s="33" t="s">
        <v>86</v>
      </c>
      <c r="C139" s="34"/>
      <c r="D139" s="31">
        <v>45</v>
      </c>
      <c r="E139" s="33"/>
      <c r="F139" s="33"/>
      <c r="G139" s="34"/>
      <c r="H139" s="34"/>
      <c r="I139" s="34"/>
      <c r="J139" s="34"/>
      <c r="K139" s="34"/>
      <c r="L139" s="33"/>
      <c r="M139" s="34"/>
      <c r="N139" s="31">
        <v>45</v>
      </c>
      <c r="P139" s="35"/>
      <c r="Q139" s="34"/>
      <c r="R139" s="35"/>
    </row>
    <row r="140" spans="1:18" x14ac:dyDescent="0.3">
      <c r="A140" s="32">
        <v>43351</v>
      </c>
      <c r="B140" s="33" t="s">
        <v>86</v>
      </c>
      <c r="C140" s="34"/>
      <c r="D140" s="31">
        <v>83</v>
      </c>
      <c r="E140" s="33"/>
      <c r="F140" s="33"/>
      <c r="G140" s="34"/>
      <c r="H140" s="34"/>
      <c r="I140" s="34"/>
      <c r="J140" s="34"/>
      <c r="K140" s="34"/>
      <c r="L140" s="33"/>
      <c r="M140" s="34"/>
      <c r="N140" s="31">
        <v>83</v>
      </c>
      <c r="P140" s="35"/>
      <c r="Q140" s="34"/>
      <c r="R140" s="35"/>
    </row>
    <row r="141" spans="1:18" x14ac:dyDescent="0.3">
      <c r="A141" s="32">
        <v>43365</v>
      </c>
      <c r="B141" s="33" t="s">
        <v>86</v>
      </c>
      <c r="C141" s="34"/>
      <c r="D141" s="31">
        <v>112</v>
      </c>
      <c r="E141" s="33"/>
      <c r="F141" s="33"/>
      <c r="G141" s="34"/>
      <c r="H141" s="34"/>
      <c r="I141" s="34"/>
      <c r="J141" s="34"/>
      <c r="K141" s="34"/>
      <c r="L141" s="33"/>
      <c r="M141" s="34"/>
      <c r="N141" s="31">
        <v>112</v>
      </c>
      <c r="P141" s="35"/>
      <c r="Q141" s="34"/>
      <c r="R141" s="35"/>
    </row>
    <row r="142" spans="1:18" x14ac:dyDescent="0.3">
      <c r="A142" s="32">
        <v>43379</v>
      </c>
      <c r="B142" s="33" t="s">
        <v>86</v>
      </c>
      <c r="C142" s="34"/>
      <c r="D142" s="31">
        <v>99.75</v>
      </c>
      <c r="E142" s="33"/>
      <c r="F142" s="33"/>
      <c r="G142" s="34"/>
      <c r="H142" s="34"/>
      <c r="I142" s="34"/>
      <c r="J142" s="34"/>
      <c r="K142" s="34"/>
      <c r="L142" s="33"/>
      <c r="M142" s="34"/>
      <c r="N142" s="31">
        <v>99.75</v>
      </c>
      <c r="P142" s="35"/>
      <c r="Q142" s="34"/>
      <c r="R142" s="35"/>
    </row>
    <row r="143" spans="1:18" x14ac:dyDescent="0.3">
      <c r="A143" s="32">
        <v>43393</v>
      </c>
      <c r="B143" s="33" t="s">
        <v>86</v>
      </c>
      <c r="C143" s="34"/>
      <c r="D143" s="31">
        <v>117</v>
      </c>
      <c r="E143" s="33"/>
      <c r="F143" s="33"/>
      <c r="G143" s="34"/>
      <c r="H143" s="34"/>
      <c r="I143" s="34"/>
      <c r="J143" s="34"/>
      <c r="K143" s="34"/>
      <c r="L143" s="33"/>
      <c r="M143" s="34"/>
      <c r="N143" s="31">
        <v>117</v>
      </c>
      <c r="P143" s="35"/>
      <c r="Q143" s="34"/>
      <c r="R143" s="35"/>
    </row>
    <row r="144" spans="1:18" x14ac:dyDescent="0.3">
      <c r="A144" s="32">
        <v>43042</v>
      </c>
      <c r="B144" s="33" t="s">
        <v>86</v>
      </c>
      <c r="C144" s="34"/>
      <c r="D144" s="31">
        <v>102</v>
      </c>
      <c r="E144" s="33"/>
      <c r="F144" s="33"/>
      <c r="G144" s="34"/>
      <c r="H144" s="34"/>
      <c r="I144" s="34"/>
      <c r="J144" s="34"/>
      <c r="K144" s="34"/>
      <c r="L144" s="33"/>
      <c r="M144" s="34"/>
      <c r="N144" s="31">
        <v>102</v>
      </c>
      <c r="P144" s="35"/>
      <c r="Q144" s="34"/>
      <c r="R144" s="35"/>
    </row>
    <row r="145" spans="1:18" x14ac:dyDescent="0.3">
      <c r="A145" s="32">
        <v>43427</v>
      </c>
      <c r="B145" s="33" t="s">
        <v>86</v>
      </c>
      <c r="C145" s="34">
        <v>2112</v>
      </c>
      <c r="D145" s="33">
        <v>80</v>
      </c>
      <c r="E145" s="33">
        <v>172.96</v>
      </c>
      <c r="F145" s="33">
        <v>2160</v>
      </c>
      <c r="G145" s="34">
        <v>220.96</v>
      </c>
      <c r="H145" s="34">
        <v>0</v>
      </c>
      <c r="I145" s="34">
        <v>2332.96</v>
      </c>
      <c r="J145" s="34">
        <v>395.24</v>
      </c>
      <c r="K145" s="34">
        <v>2728.2</v>
      </c>
      <c r="L145" s="33" t="s">
        <v>14</v>
      </c>
      <c r="M145" s="34">
        <f t="shared" ref="M145:M178" si="20">(E145+F145)/N145</f>
        <v>24.301666666666666</v>
      </c>
      <c r="N145" s="27">
        <v>96</v>
      </c>
      <c r="O145" s="34">
        <f>((N145-80)*M145)*0.5</f>
        <v>194.41333333333333</v>
      </c>
      <c r="P145" s="35">
        <f t="shared" ref="P145:P176" si="21">ROUND(((ROUNDDOWN(($T$1-A145)/30,0))/100)*O145,2)</f>
        <v>40.83</v>
      </c>
      <c r="Q145" s="34">
        <f t="shared" ref="Q145:Q178" si="22">O145*1.5</f>
        <v>291.62</v>
      </c>
      <c r="R145" s="35">
        <v>409.55</v>
      </c>
    </row>
    <row r="146" spans="1:18" x14ac:dyDescent="0.3">
      <c r="A146" s="32">
        <v>43441</v>
      </c>
      <c r="B146" s="33" t="s">
        <v>86</v>
      </c>
      <c r="C146" s="34">
        <v>1233</v>
      </c>
      <c r="D146" s="36">
        <v>45</v>
      </c>
      <c r="E146" s="33">
        <v>31.39</v>
      </c>
      <c r="F146" s="33">
        <v>1725</v>
      </c>
      <c r="G146" s="34">
        <v>238.39</v>
      </c>
      <c r="H146" s="34">
        <v>285</v>
      </c>
      <c r="I146" s="34">
        <v>1756.39</v>
      </c>
      <c r="J146" s="34">
        <v>315.16000000000003</v>
      </c>
      <c r="K146" s="34">
        <v>2071.5500000000002</v>
      </c>
      <c r="L146" s="33" t="s">
        <v>14</v>
      </c>
      <c r="M146" s="34">
        <f t="shared" si="20"/>
        <v>25.454927536231885</v>
      </c>
      <c r="N146" s="27">
        <v>69</v>
      </c>
      <c r="O146" s="38">
        <f>(M146*0.5)*5</f>
        <v>63.637318840579709</v>
      </c>
      <c r="P146" s="35">
        <f t="shared" si="21"/>
        <v>13.36</v>
      </c>
      <c r="Q146" s="34">
        <f t="shared" si="22"/>
        <v>95.455978260869557</v>
      </c>
      <c r="R146" s="35"/>
    </row>
    <row r="147" spans="1:18" x14ac:dyDescent="0.3">
      <c r="A147" s="32">
        <v>43451</v>
      </c>
      <c r="B147" s="33" t="s">
        <v>86</v>
      </c>
      <c r="C147" s="34">
        <v>2112</v>
      </c>
      <c r="D147" s="33">
        <v>96</v>
      </c>
      <c r="E147" s="33">
        <v>400.01</v>
      </c>
      <c r="F147" s="33">
        <v>2112</v>
      </c>
      <c r="G147" s="34">
        <v>400.01</v>
      </c>
      <c r="H147" s="34">
        <v>0</v>
      </c>
      <c r="I147" s="34">
        <v>2512.0100000000002</v>
      </c>
      <c r="J147" s="34">
        <v>445.33</v>
      </c>
      <c r="K147" s="34">
        <v>2957.34</v>
      </c>
      <c r="L147" s="33">
        <v>100111</v>
      </c>
      <c r="M147" s="34">
        <f t="shared" si="20"/>
        <v>26.166770833333334</v>
      </c>
      <c r="N147" s="27">
        <v>96</v>
      </c>
      <c r="O147" s="34">
        <f>((N147-80)*M147)*0.5</f>
        <v>209.33416666666668</v>
      </c>
      <c r="P147" s="35">
        <f t="shared" si="21"/>
        <v>41.87</v>
      </c>
      <c r="Q147" s="34">
        <f t="shared" si="22"/>
        <v>314.00125000000003</v>
      </c>
      <c r="R147" s="35"/>
    </row>
    <row r="148" spans="1:18" x14ac:dyDescent="0.3">
      <c r="A148" s="32">
        <v>43469</v>
      </c>
      <c r="B148" s="33" t="s">
        <v>86</v>
      </c>
      <c r="C148" s="34">
        <v>330</v>
      </c>
      <c r="D148" s="36">
        <v>15</v>
      </c>
      <c r="E148" s="33">
        <v>36.97</v>
      </c>
      <c r="F148" s="33">
        <v>330</v>
      </c>
      <c r="G148" s="34">
        <v>36.97</v>
      </c>
      <c r="H148" s="34">
        <v>0</v>
      </c>
      <c r="I148" s="34">
        <v>366.97</v>
      </c>
      <c r="J148" s="34">
        <v>67.010000000000005</v>
      </c>
      <c r="K148" s="34">
        <v>433.98</v>
      </c>
      <c r="L148" s="33">
        <v>100124</v>
      </c>
      <c r="M148" s="34">
        <f t="shared" si="20"/>
        <v>24.46466666666667</v>
      </c>
      <c r="N148" s="27">
        <v>15</v>
      </c>
      <c r="O148" s="34">
        <v>0</v>
      </c>
      <c r="P148" s="35">
        <f t="shared" si="21"/>
        <v>0</v>
      </c>
      <c r="Q148" s="34">
        <f t="shared" si="22"/>
        <v>0</v>
      </c>
      <c r="R148" s="35"/>
    </row>
    <row r="149" spans="1:18" x14ac:dyDescent="0.3">
      <c r="A149" s="32">
        <v>43497</v>
      </c>
      <c r="B149" s="33" t="s">
        <v>86</v>
      </c>
      <c r="C149" s="34">
        <v>986</v>
      </c>
      <c r="D149" s="36">
        <v>62</v>
      </c>
      <c r="E149" s="33">
        <v>279.10000000000002</v>
      </c>
      <c r="F149" s="33">
        <v>1364</v>
      </c>
      <c r="G149" s="34">
        <v>217.1</v>
      </c>
      <c r="H149" s="34">
        <v>440</v>
      </c>
      <c r="I149" s="34">
        <v>1643.1</v>
      </c>
      <c r="J149" s="34">
        <v>289.72000000000003</v>
      </c>
      <c r="K149" s="34">
        <v>1932.82</v>
      </c>
      <c r="L149" s="33">
        <v>100144</v>
      </c>
      <c r="M149" s="34">
        <f t="shared" si="20"/>
        <v>26.501612903225805</v>
      </c>
      <c r="N149" s="27">
        <v>62</v>
      </c>
      <c r="O149" s="38">
        <f>(M149*0.5)*22</f>
        <v>291.51774193548385</v>
      </c>
      <c r="P149" s="35">
        <f t="shared" si="21"/>
        <v>55.39</v>
      </c>
      <c r="Q149" s="34">
        <f t="shared" si="22"/>
        <v>437.27661290322578</v>
      </c>
      <c r="R149" s="35"/>
    </row>
    <row r="150" spans="1:18" x14ac:dyDescent="0.3">
      <c r="A150" s="32">
        <v>43511</v>
      </c>
      <c r="B150" s="33" t="s">
        <v>86</v>
      </c>
      <c r="C150" s="34">
        <v>2132</v>
      </c>
      <c r="D150" s="33">
        <v>80</v>
      </c>
      <c r="E150" s="33">
        <v>248.4</v>
      </c>
      <c r="F150" s="33">
        <v>2357</v>
      </c>
      <c r="G150" s="34">
        <v>248.4</v>
      </c>
      <c r="H150" s="34">
        <v>225</v>
      </c>
      <c r="I150" s="34">
        <v>2605.4</v>
      </c>
      <c r="J150" s="34">
        <v>422.64</v>
      </c>
      <c r="K150" s="34">
        <v>3028.04</v>
      </c>
      <c r="L150" s="33" t="s">
        <v>14</v>
      </c>
      <c r="M150" s="34">
        <f t="shared" si="20"/>
        <v>25.418536585365853</v>
      </c>
      <c r="N150" s="27">
        <v>102.5</v>
      </c>
      <c r="O150" s="34">
        <f t="shared" ref="O150:O156" si="23">((N150-80)*M150)*0.5</f>
        <v>285.95853658536583</v>
      </c>
      <c r="P150" s="35">
        <f t="shared" si="21"/>
        <v>51.47</v>
      </c>
      <c r="Q150" s="34">
        <f t="shared" si="22"/>
        <v>428.93780487804872</v>
      </c>
      <c r="R150" s="35"/>
    </row>
    <row r="151" spans="1:18" x14ac:dyDescent="0.3">
      <c r="A151" s="32">
        <v>43523</v>
      </c>
      <c r="B151" s="33" t="s">
        <v>86</v>
      </c>
      <c r="C151" s="34">
        <v>2219</v>
      </c>
      <c r="D151" s="33">
        <v>0</v>
      </c>
      <c r="E151" s="33">
        <v>367.97</v>
      </c>
      <c r="F151" s="33">
        <v>2219</v>
      </c>
      <c r="G151" s="34">
        <v>367.97</v>
      </c>
      <c r="H151" s="34">
        <v>0</v>
      </c>
      <c r="I151" s="34">
        <v>2586.9699999999998</v>
      </c>
      <c r="J151" s="34">
        <v>259.04000000000002</v>
      </c>
      <c r="K151" s="34">
        <v>2846.01</v>
      </c>
      <c r="L151" s="33" t="s">
        <v>14</v>
      </c>
      <c r="M151" s="34">
        <f t="shared" si="20"/>
        <v>26.807979274611402</v>
      </c>
      <c r="N151" s="27">
        <v>96.5</v>
      </c>
      <c r="O151" s="34">
        <f t="shared" si="23"/>
        <v>221.16582901554406</v>
      </c>
      <c r="P151" s="35">
        <f t="shared" si="21"/>
        <v>39.81</v>
      </c>
      <c r="Q151" s="34">
        <f t="shared" si="22"/>
        <v>331.74874352331608</v>
      </c>
      <c r="R151" s="35"/>
    </row>
    <row r="152" spans="1:18" x14ac:dyDescent="0.3">
      <c r="A152" s="32">
        <v>43539</v>
      </c>
      <c r="B152" s="33" t="s">
        <v>86</v>
      </c>
      <c r="C152" s="34">
        <v>2150</v>
      </c>
      <c r="D152" s="33">
        <v>80</v>
      </c>
      <c r="E152" s="33">
        <v>793.87</v>
      </c>
      <c r="F152" s="33">
        <v>1760</v>
      </c>
      <c r="G152" s="34">
        <v>403.87</v>
      </c>
      <c r="H152" s="34">
        <v>0</v>
      </c>
      <c r="I152" s="34">
        <v>2553.87</v>
      </c>
      <c r="J152" s="34">
        <v>402.14</v>
      </c>
      <c r="K152" s="34">
        <v>2956.01</v>
      </c>
      <c r="L152" s="33" t="s">
        <v>14</v>
      </c>
      <c r="M152" s="34">
        <f t="shared" si="20"/>
        <v>27.314117647058822</v>
      </c>
      <c r="N152" s="27">
        <v>93.5</v>
      </c>
      <c r="O152" s="34">
        <f t="shared" si="23"/>
        <v>184.37029411764706</v>
      </c>
      <c r="P152" s="35">
        <f t="shared" si="21"/>
        <v>31.34</v>
      </c>
      <c r="Q152" s="34">
        <f t="shared" si="22"/>
        <v>276.55544117647059</v>
      </c>
      <c r="R152" s="35"/>
    </row>
    <row r="153" spans="1:18" x14ac:dyDescent="0.3">
      <c r="A153" s="32">
        <v>43553</v>
      </c>
      <c r="B153" s="33" t="s">
        <v>86</v>
      </c>
      <c r="C153" s="34">
        <v>2093</v>
      </c>
      <c r="D153" s="33">
        <v>80</v>
      </c>
      <c r="E153" s="33">
        <v>722.71</v>
      </c>
      <c r="F153" s="33">
        <v>1760</v>
      </c>
      <c r="G153" s="34">
        <v>389.71</v>
      </c>
      <c r="H153" s="34">
        <v>0</v>
      </c>
      <c r="I153" s="34">
        <v>2482.71</v>
      </c>
      <c r="J153" s="34">
        <v>395.41</v>
      </c>
      <c r="K153" s="34">
        <v>2878.12</v>
      </c>
      <c r="L153" s="33" t="s">
        <v>14</v>
      </c>
      <c r="M153" s="34">
        <f t="shared" si="20"/>
        <v>27.282527472527473</v>
      </c>
      <c r="N153" s="27">
        <v>91</v>
      </c>
      <c r="O153" s="34">
        <f t="shared" si="23"/>
        <v>150.05390109890109</v>
      </c>
      <c r="P153" s="35">
        <f t="shared" si="21"/>
        <v>25.51</v>
      </c>
      <c r="Q153" s="34">
        <f t="shared" si="22"/>
        <v>225.08085164835165</v>
      </c>
      <c r="R153" s="35"/>
    </row>
    <row r="154" spans="1:18" x14ac:dyDescent="0.3">
      <c r="A154" s="32">
        <v>43567</v>
      </c>
      <c r="B154" s="33" t="s">
        <v>86</v>
      </c>
      <c r="C154" s="34">
        <v>2093</v>
      </c>
      <c r="D154" s="33">
        <v>80</v>
      </c>
      <c r="E154" s="33">
        <v>722.71</v>
      </c>
      <c r="F154" s="33">
        <v>1760</v>
      </c>
      <c r="G154" s="34">
        <v>389.71</v>
      </c>
      <c r="H154" s="34">
        <v>0</v>
      </c>
      <c r="I154" s="34">
        <v>2482.71</v>
      </c>
      <c r="J154" s="34">
        <v>395.41</v>
      </c>
      <c r="K154" s="34">
        <v>2878.12</v>
      </c>
      <c r="L154" s="33" t="s">
        <v>14</v>
      </c>
      <c r="M154" s="34">
        <f t="shared" si="20"/>
        <v>28.212613636363638</v>
      </c>
      <c r="N154" s="27">
        <v>88</v>
      </c>
      <c r="O154" s="34">
        <f t="shared" si="23"/>
        <v>112.85045454545455</v>
      </c>
      <c r="P154" s="35">
        <f t="shared" si="21"/>
        <v>18.059999999999999</v>
      </c>
      <c r="Q154" s="34">
        <f t="shared" si="22"/>
        <v>169.27568181818182</v>
      </c>
      <c r="R154" s="35"/>
    </row>
    <row r="155" spans="1:18" x14ac:dyDescent="0.3">
      <c r="A155" s="32">
        <v>43581</v>
      </c>
      <c r="B155" s="33" t="s">
        <v>86</v>
      </c>
      <c r="C155" s="34">
        <v>2024</v>
      </c>
      <c r="D155" s="33">
        <v>80</v>
      </c>
      <c r="E155" s="33">
        <v>636.53</v>
      </c>
      <c r="F155" s="33">
        <v>1760</v>
      </c>
      <c r="G155" s="34">
        <v>372.53</v>
      </c>
      <c r="H155" s="34">
        <v>0</v>
      </c>
      <c r="I155" s="34">
        <v>2396.5300000000002</v>
      </c>
      <c r="J155" s="34">
        <v>383.16</v>
      </c>
      <c r="K155" s="34">
        <v>2779.69</v>
      </c>
      <c r="L155" s="33" t="s">
        <v>14</v>
      </c>
      <c r="M155" s="34">
        <f t="shared" si="20"/>
        <v>27.233295454545452</v>
      </c>
      <c r="N155" s="27">
        <v>88</v>
      </c>
      <c r="O155" s="34">
        <f t="shared" si="23"/>
        <v>108.93318181818181</v>
      </c>
      <c r="P155" s="35">
        <f t="shared" si="21"/>
        <v>17.43</v>
      </c>
      <c r="Q155" s="34">
        <f t="shared" si="22"/>
        <v>163.3997727272727</v>
      </c>
      <c r="R155" s="35"/>
    </row>
    <row r="156" spans="1:18" x14ac:dyDescent="0.3">
      <c r="A156" s="32">
        <v>43595</v>
      </c>
      <c r="B156" s="33" t="s">
        <v>86</v>
      </c>
      <c r="C156" s="34">
        <v>2024</v>
      </c>
      <c r="D156" s="33">
        <v>80</v>
      </c>
      <c r="E156" s="33">
        <v>636.54999999999995</v>
      </c>
      <c r="F156" s="33">
        <v>1760</v>
      </c>
      <c r="G156" s="34">
        <v>372.55</v>
      </c>
      <c r="H156" s="34">
        <v>0</v>
      </c>
      <c r="I156" s="34">
        <v>2396.5500000000002</v>
      </c>
      <c r="J156" s="34">
        <v>383.19</v>
      </c>
      <c r="K156" s="34">
        <v>2779.74</v>
      </c>
      <c r="L156" s="33">
        <v>100175</v>
      </c>
      <c r="M156" s="34">
        <f t="shared" si="20"/>
        <v>27.233522727272728</v>
      </c>
      <c r="N156" s="27">
        <v>88</v>
      </c>
      <c r="O156" s="34">
        <f t="shared" si="23"/>
        <v>108.93409090909091</v>
      </c>
      <c r="P156" s="35">
        <f t="shared" si="21"/>
        <v>17.43</v>
      </c>
      <c r="Q156" s="34">
        <f t="shared" si="22"/>
        <v>163.40113636363637</v>
      </c>
      <c r="R156" s="35"/>
    </row>
    <row r="157" spans="1:18" x14ac:dyDescent="0.3">
      <c r="A157" s="32">
        <v>43609</v>
      </c>
      <c r="B157" s="33" t="s">
        <v>86</v>
      </c>
      <c r="C157" s="34">
        <v>828</v>
      </c>
      <c r="D157" s="36">
        <v>52</v>
      </c>
      <c r="E157" s="33">
        <v>127.82</v>
      </c>
      <c r="F157" s="33">
        <v>792</v>
      </c>
      <c r="G157" s="34">
        <v>91.82</v>
      </c>
      <c r="H157" s="34">
        <v>0</v>
      </c>
      <c r="I157" s="34">
        <v>919.82</v>
      </c>
      <c r="J157" s="34">
        <v>157.69</v>
      </c>
      <c r="K157" s="34">
        <v>1077.51</v>
      </c>
      <c r="L157" s="33" t="s">
        <v>14</v>
      </c>
      <c r="M157" s="34">
        <f t="shared" si="20"/>
        <v>17.688846153846153</v>
      </c>
      <c r="N157" s="27">
        <v>52</v>
      </c>
      <c r="O157" s="38">
        <f>(M157*0.5)*12</f>
        <v>106.13307692307691</v>
      </c>
      <c r="P157" s="35">
        <f t="shared" si="21"/>
        <v>15.92</v>
      </c>
      <c r="Q157" s="34">
        <f t="shared" si="22"/>
        <v>159.19961538461536</v>
      </c>
      <c r="R157" s="35"/>
    </row>
    <row r="158" spans="1:18" x14ac:dyDescent="0.3">
      <c r="A158" s="32">
        <v>43623</v>
      </c>
      <c r="B158" s="33" t="s">
        <v>86</v>
      </c>
      <c r="C158" s="34">
        <v>2058</v>
      </c>
      <c r="D158" s="33">
        <v>80</v>
      </c>
      <c r="E158" s="33">
        <v>679.01</v>
      </c>
      <c r="F158" s="33">
        <v>1760</v>
      </c>
      <c r="G158" s="34">
        <v>381.01</v>
      </c>
      <c r="H158" s="34">
        <v>0</v>
      </c>
      <c r="I158" s="34">
        <v>2439.0100000000002</v>
      </c>
      <c r="J158" s="34">
        <v>387.13</v>
      </c>
      <c r="K158" s="34">
        <v>2826.14</v>
      </c>
      <c r="L158" s="33" t="s">
        <v>14</v>
      </c>
      <c r="M158" s="34">
        <f t="shared" si="20"/>
        <v>27.251508379888271</v>
      </c>
      <c r="N158" s="27">
        <v>89.5</v>
      </c>
      <c r="O158" s="34">
        <f>((N158-80)*M158)*0.5</f>
        <v>129.44466480446928</v>
      </c>
      <c r="P158" s="35">
        <f t="shared" si="21"/>
        <v>19.420000000000002</v>
      </c>
      <c r="Q158" s="34">
        <f t="shared" si="22"/>
        <v>194.16699720670391</v>
      </c>
      <c r="R158" s="35"/>
    </row>
    <row r="159" spans="1:18" x14ac:dyDescent="0.3">
      <c r="A159" s="32">
        <v>43637</v>
      </c>
      <c r="B159" s="33" t="s">
        <v>86</v>
      </c>
      <c r="C159" s="34">
        <v>2587</v>
      </c>
      <c r="D159" s="33">
        <v>80</v>
      </c>
      <c r="E159" s="33">
        <v>1242.6500000000001</v>
      </c>
      <c r="F159" s="33">
        <v>1760</v>
      </c>
      <c r="G159" s="34">
        <v>415.65</v>
      </c>
      <c r="H159" s="34">
        <v>0</v>
      </c>
      <c r="I159" s="34">
        <v>3002.65</v>
      </c>
      <c r="J159" s="34">
        <v>439.48</v>
      </c>
      <c r="K159" s="34">
        <v>3442.13</v>
      </c>
      <c r="L159" s="33" t="s">
        <v>14</v>
      </c>
      <c r="M159" s="34">
        <f t="shared" si="20"/>
        <v>26.690222222222221</v>
      </c>
      <c r="N159" s="27">
        <v>112.5</v>
      </c>
      <c r="O159" s="34">
        <f>((N159-80)*M159)*0.5</f>
        <v>433.7161111111111</v>
      </c>
      <c r="P159" s="35">
        <f t="shared" si="21"/>
        <v>60.72</v>
      </c>
      <c r="Q159" s="34">
        <f t="shared" si="22"/>
        <v>650.57416666666666</v>
      </c>
      <c r="R159" s="35"/>
    </row>
    <row r="160" spans="1:18" x14ac:dyDescent="0.3">
      <c r="A160" s="32">
        <v>43651</v>
      </c>
      <c r="B160" s="33" t="s">
        <v>86</v>
      </c>
      <c r="C160" s="34">
        <v>1288</v>
      </c>
      <c r="D160" s="33">
        <v>56</v>
      </c>
      <c r="E160" s="33">
        <v>198.81</v>
      </c>
      <c r="F160" s="33">
        <v>1232</v>
      </c>
      <c r="G160" s="34">
        <v>142.81</v>
      </c>
      <c r="H160" s="34">
        <v>0</v>
      </c>
      <c r="I160" s="34">
        <v>1430.81</v>
      </c>
      <c r="J160" s="34">
        <v>245.3</v>
      </c>
      <c r="K160" s="34">
        <v>1676.11</v>
      </c>
      <c r="L160" s="33" t="s">
        <v>14</v>
      </c>
      <c r="M160" s="34">
        <f t="shared" si="20"/>
        <v>17.885124999999999</v>
      </c>
      <c r="N160" s="27">
        <v>80</v>
      </c>
      <c r="O160" s="34">
        <f>((N160-80)*M160)*0.5</f>
        <v>0</v>
      </c>
      <c r="P160" s="35">
        <f t="shared" si="21"/>
        <v>0</v>
      </c>
      <c r="Q160" s="34">
        <f t="shared" si="22"/>
        <v>0</v>
      </c>
      <c r="R160" s="35"/>
    </row>
    <row r="161" spans="1:18" x14ac:dyDescent="0.3">
      <c r="A161" s="32">
        <v>43665</v>
      </c>
      <c r="B161" s="33" t="s">
        <v>86</v>
      </c>
      <c r="C161" s="34">
        <v>943</v>
      </c>
      <c r="D161" s="36">
        <v>41</v>
      </c>
      <c r="E161" s="33">
        <v>104.57</v>
      </c>
      <c r="F161" s="33">
        <v>943</v>
      </c>
      <c r="G161" s="34">
        <v>104.57</v>
      </c>
      <c r="H161" s="34">
        <v>0</v>
      </c>
      <c r="I161" s="34">
        <v>1047.57</v>
      </c>
      <c r="J161" s="34">
        <v>179.59</v>
      </c>
      <c r="K161" s="34">
        <v>1227.1600000000001</v>
      </c>
      <c r="L161" s="33" t="s">
        <v>14</v>
      </c>
      <c r="M161" s="34">
        <f t="shared" si="20"/>
        <v>25.550487804878045</v>
      </c>
      <c r="N161" s="27">
        <v>41</v>
      </c>
      <c r="O161" s="38">
        <f>(M161*0.5)*1</f>
        <v>12.775243902439023</v>
      </c>
      <c r="P161" s="35">
        <f t="shared" si="21"/>
        <v>1.66</v>
      </c>
      <c r="Q161" s="34">
        <f t="shared" si="22"/>
        <v>19.162865853658534</v>
      </c>
      <c r="R161" s="35"/>
    </row>
    <row r="162" spans="1:18" x14ac:dyDescent="0.3">
      <c r="A162" s="32">
        <v>43679</v>
      </c>
      <c r="B162" s="33" t="s">
        <v>86</v>
      </c>
      <c r="C162" s="34">
        <v>2196</v>
      </c>
      <c r="D162" s="33">
        <v>80</v>
      </c>
      <c r="E162" s="33">
        <v>318.43</v>
      </c>
      <c r="F162" s="33">
        <v>2196</v>
      </c>
      <c r="G162" s="34">
        <v>318.47000000000003</v>
      </c>
      <c r="H162" s="34">
        <v>-0.04</v>
      </c>
      <c r="I162" s="34">
        <v>2514.4299999999998</v>
      </c>
      <c r="J162" s="34">
        <v>394.12</v>
      </c>
      <c r="K162" s="34">
        <v>2908.55</v>
      </c>
      <c r="L162" s="33" t="s">
        <v>14</v>
      </c>
      <c r="M162" s="34">
        <f t="shared" si="20"/>
        <v>26.329109947643978</v>
      </c>
      <c r="N162" s="27">
        <v>95.5</v>
      </c>
      <c r="O162" s="34">
        <f>((N162-80)*M162)*0.5</f>
        <v>204.05060209424084</v>
      </c>
      <c r="P162" s="35">
        <f t="shared" si="21"/>
        <v>26.53</v>
      </c>
      <c r="Q162" s="34">
        <f t="shared" si="22"/>
        <v>306.07590314136127</v>
      </c>
      <c r="R162" s="35"/>
    </row>
    <row r="163" spans="1:18" x14ac:dyDescent="0.3">
      <c r="A163" s="32">
        <v>43693</v>
      </c>
      <c r="B163" s="33" t="s">
        <v>86</v>
      </c>
      <c r="C163" s="34">
        <v>2449</v>
      </c>
      <c r="D163" s="33">
        <v>80</v>
      </c>
      <c r="E163" s="33">
        <v>381.36</v>
      </c>
      <c r="F163" s="33">
        <v>2449</v>
      </c>
      <c r="G163" s="34">
        <v>381.36</v>
      </c>
      <c r="H163" s="34">
        <v>0</v>
      </c>
      <c r="I163" s="34">
        <v>2830.36</v>
      </c>
      <c r="J163" s="34">
        <v>423.5</v>
      </c>
      <c r="K163" s="34">
        <v>3253.86</v>
      </c>
      <c r="L163" s="33" t="s">
        <v>14</v>
      </c>
      <c r="M163" s="34">
        <f t="shared" si="20"/>
        <v>26.576150234741785</v>
      </c>
      <c r="N163" s="27">
        <v>106.5</v>
      </c>
      <c r="O163" s="34">
        <f>((N163-80)*M163)*0.5</f>
        <v>352.13399061032868</v>
      </c>
      <c r="P163" s="35">
        <f t="shared" si="21"/>
        <v>42.26</v>
      </c>
      <c r="Q163" s="34">
        <f t="shared" si="22"/>
        <v>528.20098591549299</v>
      </c>
      <c r="R163" s="35"/>
    </row>
    <row r="164" spans="1:18" x14ac:dyDescent="0.3">
      <c r="A164" s="32">
        <v>43707</v>
      </c>
      <c r="B164" s="33" t="s">
        <v>86</v>
      </c>
      <c r="C164" s="34">
        <v>2342</v>
      </c>
      <c r="D164" s="33">
        <v>80</v>
      </c>
      <c r="E164" s="33">
        <v>367.19</v>
      </c>
      <c r="F164" s="33">
        <v>2392</v>
      </c>
      <c r="G164" s="34">
        <v>367.19</v>
      </c>
      <c r="H164" s="34">
        <v>50</v>
      </c>
      <c r="I164" s="34">
        <v>2759.19</v>
      </c>
      <c r="J164" s="34">
        <v>416.86</v>
      </c>
      <c r="K164" s="34">
        <v>3176.05</v>
      </c>
      <c r="L164" s="33" t="s">
        <v>14</v>
      </c>
      <c r="M164" s="34">
        <f t="shared" si="20"/>
        <v>26.530673076923076</v>
      </c>
      <c r="N164" s="27">
        <v>104</v>
      </c>
      <c r="O164" s="34">
        <f>((N164-80)*M164)*0.5</f>
        <v>318.3680769230769</v>
      </c>
      <c r="P164" s="35">
        <f t="shared" si="21"/>
        <v>38.200000000000003</v>
      </c>
      <c r="Q164" s="34">
        <f t="shared" si="22"/>
        <v>477.55211538461538</v>
      </c>
      <c r="R164" s="35"/>
    </row>
    <row r="165" spans="1:18" x14ac:dyDescent="0.3">
      <c r="A165" s="32">
        <v>43721</v>
      </c>
      <c r="B165" s="33" t="s">
        <v>86</v>
      </c>
      <c r="C165" s="34">
        <v>2047</v>
      </c>
      <c r="D165" s="33">
        <v>80</v>
      </c>
      <c r="E165" s="33">
        <v>285.45</v>
      </c>
      <c r="F165" s="33">
        <v>2047</v>
      </c>
      <c r="G165" s="34">
        <v>285.45</v>
      </c>
      <c r="H165" s="34">
        <v>0</v>
      </c>
      <c r="I165" s="34">
        <v>2332.4499999999998</v>
      </c>
      <c r="J165" s="34">
        <v>377.23</v>
      </c>
      <c r="K165" s="34">
        <v>2709.68</v>
      </c>
      <c r="L165" s="33" t="s">
        <v>14</v>
      </c>
      <c r="M165" s="34">
        <f t="shared" si="20"/>
        <v>26.207303370786516</v>
      </c>
      <c r="N165" s="27">
        <v>89</v>
      </c>
      <c r="O165" s="34">
        <f>((N165-80)*M165)*0.5</f>
        <v>117.93286516853932</v>
      </c>
      <c r="P165" s="35">
        <f t="shared" si="21"/>
        <v>12.97</v>
      </c>
      <c r="Q165" s="34">
        <f t="shared" si="22"/>
        <v>176.89929775280899</v>
      </c>
      <c r="R165" s="35"/>
    </row>
    <row r="166" spans="1:18" x14ac:dyDescent="0.3">
      <c r="A166" s="32">
        <v>43735</v>
      </c>
      <c r="B166" s="33" t="s">
        <v>86</v>
      </c>
      <c r="C166" s="34">
        <v>1541</v>
      </c>
      <c r="D166" s="36">
        <v>67</v>
      </c>
      <c r="E166" s="33">
        <v>178.37</v>
      </c>
      <c r="F166" s="33">
        <v>1541</v>
      </c>
      <c r="G166" s="34">
        <v>178.37</v>
      </c>
      <c r="H166" s="34">
        <v>0</v>
      </c>
      <c r="I166" s="34">
        <v>1719.37</v>
      </c>
      <c r="J166" s="34">
        <v>320.26</v>
      </c>
      <c r="K166" s="34">
        <v>2039.63</v>
      </c>
      <c r="L166" s="33" t="s">
        <v>14</v>
      </c>
      <c r="M166" s="34">
        <f t="shared" si="20"/>
        <v>25.662238805970148</v>
      </c>
      <c r="N166" s="27">
        <v>67</v>
      </c>
      <c r="O166" s="38">
        <f>(M166*0.5)*27</f>
        <v>346.44022388059699</v>
      </c>
      <c r="P166" s="35">
        <f t="shared" si="21"/>
        <v>38.11</v>
      </c>
      <c r="Q166" s="34">
        <f t="shared" si="22"/>
        <v>519.66033582089551</v>
      </c>
      <c r="R166" s="35"/>
    </row>
    <row r="167" spans="1:18" x14ac:dyDescent="0.3">
      <c r="A167" s="32">
        <v>43749</v>
      </c>
      <c r="B167" s="33" t="s">
        <v>86</v>
      </c>
      <c r="C167" s="34">
        <v>2576</v>
      </c>
      <c r="D167" s="33">
        <v>80</v>
      </c>
      <c r="E167" s="33">
        <v>412.91</v>
      </c>
      <c r="F167" s="33">
        <v>2576</v>
      </c>
      <c r="G167" s="34">
        <v>412.91</v>
      </c>
      <c r="H167" s="34">
        <v>0</v>
      </c>
      <c r="I167" s="34">
        <v>2988.91</v>
      </c>
      <c r="J167" s="34">
        <v>438.21</v>
      </c>
      <c r="K167" s="34">
        <v>3427.12</v>
      </c>
      <c r="L167" s="33" t="s">
        <v>14</v>
      </c>
      <c r="M167" s="34">
        <f t="shared" si="20"/>
        <v>26.568088888888887</v>
      </c>
      <c r="N167" s="27">
        <v>112.5</v>
      </c>
      <c r="O167" s="34">
        <f>((N167-80)*M167)*0.5</f>
        <v>431.73144444444443</v>
      </c>
      <c r="P167" s="35">
        <f t="shared" si="21"/>
        <v>43.17</v>
      </c>
      <c r="Q167" s="34">
        <f t="shared" si="22"/>
        <v>647.59716666666668</v>
      </c>
      <c r="R167" s="35"/>
    </row>
    <row r="168" spans="1:18" x14ac:dyDescent="0.3">
      <c r="A168" s="32">
        <v>43763</v>
      </c>
      <c r="B168" s="33" t="s">
        <v>86</v>
      </c>
      <c r="C168" s="34">
        <v>1989</v>
      </c>
      <c r="D168" s="33">
        <v>80</v>
      </c>
      <c r="E168" s="33">
        <v>272.81</v>
      </c>
      <c r="F168" s="33">
        <v>1989</v>
      </c>
      <c r="G168" s="34">
        <v>272.81</v>
      </c>
      <c r="H168" s="34">
        <v>0</v>
      </c>
      <c r="I168" s="34">
        <v>2261.81</v>
      </c>
      <c r="J168" s="34">
        <v>370.66</v>
      </c>
      <c r="K168" s="34">
        <v>2632.47</v>
      </c>
      <c r="L168" s="33" t="s">
        <v>14</v>
      </c>
      <c r="M168" s="34">
        <f t="shared" si="20"/>
        <v>26.148092485549132</v>
      </c>
      <c r="N168" s="27">
        <v>86.5</v>
      </c>
      <c r="O168" s="34">
        <f>((N168-80)*M168)*0.5</f>
        <v>84.981300578034677</v>
      </c>
      <c r="P168" s="35">
        <f t="shared" si="21"/>
        <v>8.5</v>
      </c>
      <c r="Q168" s="34">
        <f t="shared" si="22"/>
        <v>127.47195086705202</v>
      </c>
      <c r="R168" s="35"/>
    </row>
    <row r="169" spans="1:18" x14ac:dyDescent="0.3">
      <c r="A169" s="32">
        <v>43777</v>
      </c>
      <c r="B169" s="33" t="s">
        <v>86</v>
      </c>
      <c r="C169" s="34">
        <v>2323</v>
      </c>
      <c r="D169" s="33">
        <v>80</v>
      </c>
      <c r="E169" s="33">
        <v>350.04</v>
      </c>
      <c r="F169" s="33">
        <v>2323</v>
      </c>
      <c r="G169" s="34">
        <v>350.04</v>
      </c>
      <c r="H169" s="34">
        <v>0</v>
      </c>
      <c r="I169" s="34">
        <v>2673.04</v>
      </c>
      <c r="J169" s="34">
        <v>408.86</v>
      </c>
      <c r="K169" s="34">
        <v>3081.9</v>
      </c>
      <c r="L169" s="33" t="s">
        <v>14</v>
      </c>
      <c r="M169" s="34">
        <f t="shared" si="20"/>
        <v>26.335369458128078</v>
      </c>
      <c r="N169" s="27">
        <v>101.5</v>
      </c>
      <c r="O169" s="34">
        <f>((N169-80)*M169)*0.5</f>
        <v>283.10522167487682</v>
      </c>
      <c r="P169" s="35">
        <f t="shared" si="21"/>
        <v>25.48</v>
      </c>
      <c r="Q169" s="34">
        <f t="shared" si="22"/>
        <v>424.65783251231522</v>
      </c>
      <c r="R169" s="35"/>
    </row>
    <row r="170" spans="1:18" x14ac:dyDescent="0.3">
      <c r="A170" s="32">
        <v>43791</v>
      </c>
      <c r="B170" s="33" t="s">
        <v>86</v>
      </c>
      <c r="C170" s="34">
        <v>2492</v>
      </c>
      <c r="D170" s="33">
        <v>80</v>
      </c>
      <c r="E170" s="33">
        <v>392.03</v>
      </c>
      <c r="F170" s="33">
        <v>2492</v>
      </c>
      <c r="G170" s="34">
        <v>392.03</v>
      </c>
      <c r="H170" s="34">
        <v>0</v>
      </c>
      <c r="I170" s="34">
        <v>2884.03</v>
      </c>
      <c r="J170" s="34">
        <v>403.56</v>
      </c>
      <c r="K170" s="34">
        <v>3287.59</v>
      </c>
      <c r="L170" s="33" t="s">
        <v>14</v>
      </c>
      <c r="M170" s="34">
        <f t="shared" si="20"/>
        <v>28.696815920398006</v>
      </c>
      <c r="N170" s="27">
        <v>100.5</v>
      </c>
      <c r="O170" s="34">
        <f>((N170-80)*M170)*0.5</f>
        <v>294.14236318407956</v>
      </c>
      <c r="P170" s="35">
        <f t="shared" si="21"/>
        <v>26.47</v>
      </c>
      <c r="Q170" s="34">
        <f t="shared" si="22"/>
        <v>441.21354477611931</v>
      </c>
      <c r="R170" s="35"/>
    </row>
    <row r="171" spans="1:18" x14ac:dyDescent="0.3">
      <c r="A171" s="32">
        <v>43805</v>
      </c>
      <c r="B171" s="33" t="s">
        <v>86</v>
      </c>
      <c r="C171" s="34">
        <v>1848</v>
      </c>
      <c r="D171" s="36">
        <v>49.5</v>
      </c>
      <c r="E171" s="33">
        <v>242.07</v>
      </c>
      <c r="F171" s="33">
        <v>1848</v>
      </c>
      <c r="G171" s="34">
        <v>242.07</v>
      </c>
      <c r="H171" s="34">
        <v>0</v>
      </c>
      <c r="I171" s="34">
        <v>2090.0700000000002</v>
      </c>
      <c r="J171" s="34">
        <v>320.44</v>
      </c>
      <c r="K171" s="34">
        <v>2410.5100000000002</v>
      </c>
      <c r="L171" s="33" t="s">
        <v>14</v>
      </c>
      <c r="M171" s="34">
        <f t="shared" si="20"/>
        <v>27.143766233766236</v>
      </c>
      <c r="N171" s="27">
        <v>77</v>
      </c>
      <c r="O171" s="38">
        <f>(M171*0.5)*9.5</f>
        <v>128.93288961038962</v>
      </c>
      <c r="P171" s="35">
        <f t="shared" si="21"/>
        <v>11.6</v>
      </c>
      <c r="Q171" s="34">
        <f t="shared" si="22"/>
        <v>193.39933441558443</v>
      </c>
      <c r="R171" s="35"/>
    </row>
    <row r="172" spans="1:18" x14ac:dyDescent="0.3">
      <c r="A172" s="32">
        <v>43816</v>
      </c>
      <c r="B172" s="33" t="s">
        <v>86</v>
      </c>
      <c r="C172" s="34">
        <v>2364</v>
      </c>
      <c r="D172" s="33">
        <v>80</v>
      </c>
      <c r="E172" s="33">
        <v>360.22</v>
      </c>
      <c r="F172" s="33">
        <v>2364</v>
      </c>
      <c r="G172" s="34">
        <v>360.22</v>
      </c>
      <c r="H172" s="34">
        <v>0</v>
      </c>
      <c r="I172" s="34">
        <v>2724.22</v>
      </c>
      <c r="J172" s="34">
        <v>368.94</v>
      </c>
      <c r="K172" s="34">
        <v>3093.16</v>
      </c>
      <c r="L172" s="33">
        <v>100192</v>
      </c>
      <c r="M172" s="34">
        <f t="shared" si="20"/>
        <v>27.657055837563455</v>
      </c>
      <c r="N172" s="27">
        <v>98.5</v>
      </c>
      <c r="O172" s="34">
        <f>((N172-80)*M172)*0.5</f>
        <v>255.82776649746197</v>
      </c>
      <c r="P172" s="35">
        <f t="shared" si="21"/>
        <v>20.47</v>
      </c>
      <c r="Q172" s="34">
        <f t="shared" si="22"/>
        <v>383.74164974619293</v>
      </c>
      <c r="R172" s="35"/>
    </row>
    <row r="173" spans="1:18" x14ac:dyDescent="0.3">
      <c r="A173" s="32">
        <v>43833</v>
      </c>
      <c r="B173" s="33" t="s">
        <v>86</v>
      </c>
      <c r="C173" s="34">
        <v>864</v>
      </c>
      <c r="D173" s="36">
        <v>36</v>
      </c>
      <c r="E173" s="33">
        <v>94.9</v>
      </c>
      <c r="F173" s="33">
        <v>864</v>
      </c>
      <c r="G173" s="34">
        <v>94.9</v>
      </c>
      <c r="H173" s="34">
        <v>0</v>
      </c>
      <c r="I173" s="34">
        <v>958.9</v>
      </c>
      <c r="J173" s="34">
        <v>167.06</v>
      </c>
      <c r="K173" s="34">
        <v>1125.96</v>
      </c>
      <c r="L173" s="33" t="s">
        <v>14</v>
      </c>
      <c r="M173" s="34">
        <f t="shared" si="20"/>
        <v>26.636111111111109</v>
      </c>
      <c r="N173" s="27">
        <v>36</v>
      </c>
      <c r="O173" s="34">
        <v>0</v>
      </c>
      <c r="P173" s="35">
        <f t="shared" si="21"/>
        <v>0</v>
      </c>
      <c r="Q173" s="34">
        <f t="shared" si="22"/>
        <v>0</v>
      </c>
      <c r="R173" s="35"/>
    </row>
    <row r="174" spans="1:18" x14ac:dyDescent="0.3">
      <c r="A174" s="32">
        <v>43861</v>
      </c>
      <c r="B174" s="33" t="s">
        <v>86</v>
      </c>
      <c r="C174" s="34">
        <v>2412</v>
      </c>
      <c r="D174" s="33">
        <v>80</v>
      </c>
      <c r="E174" s="33"/>
      <c r="F174" s="33">
        <v>2424</v>
      </c>
      <c r="G174" s="34">
        <v>298.38</v>
      </c>
      <c r="H174" s="34">
        <v>12</v>
      </c>
      <c r="I174" s="34">
        <v>2722.38</v>
      </c>
      <c r="J174" s="34">
        <v>400.28</v>
      </c>
      <c r="K174" s="34">
        <v>3122.66</v>
      </c>
      <c r="L174" s="33" t="s">
        <v>14</v>
      </c>
      <c r="M174" s="34">
        <f t="shared" si="20"/>
        <v>24</v>
      </c>
      <c r="N174" s="27">
        <v>101</v>
      </c>
      <c r="O174" s="34">
        <f>((N174-80)*M174)*0.5</f>
        <v>252</v>
      </c>
      <c r="P174" s="35">
        <f t="shared" si="21"/>
        <v>17.64</v>
      </c>
      <c r="Q174" s="34">
        <f t="shared" si="22"/>
        <v>378</v>
      </c>
      <c r="R174" s="35"/>
    </row>
    <row r="175" spans="1:18" x14ac:dyDescent="0.3">
      <c r="A175" s="32">
        <v>43875</v>
      </c>
      <c r="B175" s="33" t="s">
        <v>86</v>
      </c>
      <c r="C175" s="34">
        <v>1717</v>
      </c>
      <c r="D175" s="33">
        <v>73</v>
      </c>
      <c r="E175" s="33"/>
      <c r="F175" s="33">
        <v>1752</v>
      </c>
      <c r="G175" s="34">
        <v>169.19</v>
      </c>
      <c r="H175" s="34">
        <v>35</v>
      </c>
      <c r="I175" s="34">
        <v>1921.19</v>
      </c>
      <c r="J175" s="34">
        <v>275.86</v>
      </c>
      <c r="K175" s="34">
        <v>2197.0500000000002</v>
      </c>
      <c r="L175" s="33" t="s">
        <v>14</v>
      </c>
      <c r="M175" s="34">
        <f t="shared" si="20"/>
        <v>24</v>
      </c>
      <c r="N175" s="27">
        <v>73</v>
      </c>
      <c r="O175" s="34">
        <v>0</v>
      </c>
      <c r="P175" s="35">
        <f t="shared" si="21"/>
        <v>0</v>
      </c>
      <c r="Q175" s="34">
        <f t="shared" si="22"/>
        <v>0</v>
      </c>
      <c r="R175" s="35"/>
    </row>
    <row r="176" spans="1:18" x14ac:dyDescent="0.3">
      <c r="A176" s="32">
        <v>43889</v>
      </c>
      <c r="B176" s="33" t="s">
        <v>86</v>
      </c>
      <c r="C176" s="34">
        <v>2616</v>
      </c>
      <c r="D176" s="33">
        <v>80</v>
      </c>
      <c r="E176" s="33"/>
      <c r="F176" s="33">
        <v>2616</v>
      </c>
      <c r="G176" s="34">
        <v>325.45999999999998</v>
      </c>
      <c r="H176" s="34">
        <v>0</v>
      </c>
      <c r="I176" s="34">
        <v>2941.46</v>
      </c>
      <c r="J176" s="34">
        <v>357.63</v>
      </c>
      <c r="K176" s="34">
        <v>3299.09</v>
      </c>
      <c r="L176" s="33" t="s">
        <v>14</v>
      </c>
      <c r="M176" s="34">
        <f t="shared" si="20"/>
        <v>24</v>
      </c>
      <c r="N176" s="27">
        <v>109</v>
      </c>
      <c r="O176" s="34">
        <f>((N176-80)*M176)*0.5</f>
        <v>348</v>
      </c>
      <c r="P176" s="35">
        <f t="shared" si="21"/>
        <v>20.88</v>
      </c>
      <c r="Q176" s="34">
        <f t="shared" si="22"/>
        <v>522</v>
      </c>
      <c r="R176" s="35"/>
    </row>
    <row r="177" spans="1:18" x14ac:dyDescent="0.3">
      <c r="A177" s="32">
        <v>43903</v>
      </c>
      <c r="B177" s="33" t="s">
        <v>86</v>
      </c>
      <c r="C177" s="34">
        <v>2436</v>
      </c>
      <c r="D177" s="33">
        <v>45</v>
      </c>
      <c r="E177" s="33"/>
      <c r="F177" s="33">
        <v>2436</v>
      </c>
      <c r="G177" s="34">
        <v>291.7</v>
      </c>
      <c r="H177" s="34">
        <v>0</v>
      </c>
      <c r="I177" s="34">
        <v>2727.7</v>
      </c>
      <c r="J177" s="34">
        <v>338.73</v>
      </c>
      <c r="K177" s="34">
        <v>3066.43</v>
      </c>
      <c r="L177" s="33" t="s">
        <v>14</v>
      </c>
      <c r="M177" s="34">
        <f t="shared" si="20"/>
        <v>24</v>
      </c>
      <c r="N177" s="27">
        <v>101.5</v>
      </c>
      <c r="O177" s="34">
        <f>((N177-80)*M177)*0.5</f>
        <v>258</v>
      </c>
      <c r="P177" s="35">
        <f t="shared" ref="P177:P208" si="24">ROUND(((ROUNDDOWN(($T$1-A177)/30,0))/100)*O177,2)</f>
        <v>12.9</v>
      </c>
      <c r="Q177" s="34">
        <f t="shared" si="22"/>
        <v>387</v>
      </c>
      <c r="R177" s="35"/>
    </row>
    <row r="178" spans="1:18" x14ac:dyDescent="0.3">
      <c r="A178" s="32">
        <v>43917</v>
      </c>
      <c r="B178" s="33" t="s">
        <v>86</v>
      </c>
      <c r="C178" s="34">
        <v>1751.15</v>
      </c>
      <c r="D178" s="36">
        <v>45</v>
      </c>
      <c r="E178" s="33"/>
      <c r="F178" s="33">
        <v>1952.5</v>
      </c>
      <c r="G178" s="34">
        <v>201.35</v>
      </c>
      <c r="H178" s="34">
        <v>0</v>
      </c>
      <c r="I178" s="34">
        <v>1952.5</v>
      </c>
      <c r="J178" s="34">
        <v>281.14999999999998</v>
      </c>
      <c r="K178" s="34">
        <v>2233.65</v>
      </c>
      <c r="L178" s="33" t="s">
        <v>14</v>
      </c>
      <c r="M178" s="34">
        <f t="shared" si="20"/>
        <v>27.5</v>
      </c>
      <c r="N178" s="27">
        <v>71</v>
      </c>
      <c r="O178" s="38">
        <f>(M178*0.5)*5</f>
        <v>68.75</v>
      </c>
      <c r="P178" s="35">
        <f t="shared" si="24"/>
        <v>3.44</v>
      </c>
      <c r="Q178" s="34">
        <f t="shared" si="22"/>
        <v>103.125</v>
      </c>
      <c r="R178" s="35"/>
    </row>
    <row r="179" spans="1:18" x14ac:dyDescent="0.3">
      <c r="A179" s="32">
        <v>43379</v>
      </c>
      <c r="B179" s="33" t="s">
        <v>87</v>
      </c>
      <c r="C179" s="34"/>
      <c r="D179" s="31">
        <v>99.75</v>
      </c>
      <c r="E179" s="33"/>
      <c r="F179" s="33"/>
      <c r="G179" s="34"/>
      <c r="H179" s="34"/>
      <c r="I179" s="34"/>
      <c r="J179" s="34"/>
      <c r="K179" s="34"/>
      <c r="L179" s="33"/>
      <c r="M179" s="46"/>
      <c r="N179" s="27"/>
      <c r="O179" s="34"/>
      <c r="P179" s="35">
        <f t="shared" si="24"/>
        <v>0</v>
      </c>
      <c r="Q179" s="34"/>
      <c r="R179" s="35"/>
    </row>
    <row r="180" spans="1:18" x14ac:dyDescent="0.3">
      <c r="A180" s="32">
        <v>43393</v>
      </c>
      <c r="B180" s="33" t="s">
        <v>87</v>
      </c>
      <c r="C180" s="34"/>
      <c r="D180" s="31">
        <v>116</v>
      </c>
      <c r="E180" s="33"/>
      <c r="F180" s="33"/>
      <c r="G180" s="34"/>
      <c r="H180" s="34"/>
      <c r="I180" s="34"/>
      <c r="J180" s="34"/>
      <c r="K180" s="34"/>
      <c r="L180" s="33"/>
      <c r="M180" s="34"/>
      <c r="N180" s="27"/>
      <c r="O180" s="34"/>
      <c r="P180" s="35">
        <f t="shared" si="24"/>
        <v>0</v>
      </c>
      <c r="Q180" s="34"/>
      <c r="R180" s="35"/>
    </row>
    <row r="181" spans="1:18" x14ac:dyDescent="0.3">
      <c r="A181" s="32">
        <v>43407</v>
      </c>
      <c r="B181" s="33" t="s">
        <v>144</v>
      </c>
      <c r="C181" s="34"/>
      <c r="D181" s="31">
        <v>103</v>
      </c>
      <c r="E181" s="33"/>
      <c r="F181" s="33"/>
      <c r="G181" s="34"/>
      <c r="H181" s="34"/>
      <c r="I181" s="34"/>
      <c r="J181" s="34"/>
      <c r="K181" s="34"/>
      <c r="L181" s="33"/>
      <c r="M181" s="34"/>
      <c r="N181" s="27"/>
      <c r="O181" s="34"/>
      <c r="P181" s="35">
        <f t="shared" si="24"/>
        <v>0</v>
      </c>
      <c r="Q181" s="34"/>
      <c r="R181" s="35"/>
    </row>
    <row r="182" spans="1:18" x14ac:dyDescent="0.3">
      <c r="A182" s="32">
        <v>43427</v>
      </c>
      <c r="B182" s="33" t="s">
        <v>87</v>
      </c>
      <c r="C182" s="34">
        <v>1768</v>
      </c>
      <c r="D182" s="33">
        <v>80</v>
      </c>
      <c r="E182" s="33">
        <v>200.47</v>
      </c>
      <c r="F182" s="33">
        <v>1760</v>
      </c>
      <c r="G182" s="34">
        <v>192.47</v>
      </c>
      <c r="H182" s="34">
        <v>0</v>
      </c>
      <c r="I182" s="34">
        <v>1960.47</v>
      </c>
      <c r="J182" s="34">
        <v>357.76</v>
      </c>
      <c r="K182" s="34">
        <v>2318.23</v>
      </c>
      <c r="L182" s="33" t="s">
        <v>14</v>
      </c>
      <c r="M182" s="34">
        <f t="shared" ref="M182:M216" si="25">(E182+F182)/N182</f>
        <v>20.4215625</v>
      </c>
      <c r="N182" s="27">
        <v>96</v>
      </c>
      <c r="O182" s="34">
        <f>((N182-80)*M182)*0.5</f>
        <v>163.3725</v>
      </c>
      <c r="P182" s="35">
        <f t="shared" si="24"/>
        <v>34.31</v>
      </c>
      <c r="Q182" s="34">
        <f t="shared" ref="Q182:Q216" si="26">O182*1.5</f>
        <v>245.05875</v>
      </c>
      <c r="R182" s="35">
        <v>409.55</v>
      </c>
    </row>
    <row r="183" spans="1:18" x14ac:dyDescent="0.3">
      <c r="A183" s="32">
        <v>43441</v>
      </c>
      <c r="B183" s="33" t="s">
        <v>87</v>
      </c>
      <c r="C183" s="34">
        <v>1302</v>
      </c>
      <c r="D183" s="36">
        <v>45</v>
      </c>
      <c r="E183" s="33">
        <v>115.79</v>
      </c>
      <c r="F183" s="33">
        <v>1725</v>
      </c>
      <c r="G183" s="34">
        <v>253.79</v>
      </c>
      <c r="H183" s="34">
        <v>285</v>
      </c>
      <c r="I183" s="34">
        <v>1840.79</v>
      </c>
      <c r="J183" s="34">
        <v>323.64999999999998</v>
      </c>
      <c r="K183" s="34">
        <v>2164.44</v>
      </c>
      <c r="L183" s="33" t="s">
        <v>14</v>
      </c>
      <c r="M183" s="34">
        <f t="shared" si="25"/>
        <v>26.678115942028985</v>
      </c>
      <c r="N183" s="27">
        <v>69</v>
      </c>
      <c r="O183" s="38">
        <f>(M183*0.5)*5</f>
        <v>66.69528985507246</v>
      </c>
      <c r="P183" s="35">
        <f t="shared" si="24"/>
        <v>14.01</v>
      </c>
      <c r="Q183" s="34">
        <f t="shared" si="26"/>
        <v>100.04293478260868</v>
      </c>
      <c r="R183" s="35"/>
    </row>
    <row r="184" spans="1:18" x14ac:dyDescent="0.3">
      <c r="A184" s="32">
        <v>43455</v>
      </c>
      <c r="B184" s="33" t="s">
        <v>87</v>
      </c>
      <c r="C184" s="34">
        <v>1542</v>
      </c>
      <c r="D184" s="36">
        <v>43</v>
      </c>
      <c r="E184" s="33">
        <v>32.61</v>
      </c>
      <c r="F184" s="33">
        <v>1760</v>
      </c>
      <c r="G184" s="34">
        <v>250.61</v>
      </c>
      <c r="H184" s="34">
        <v>0</v>
      </c>
      <c r="I184" s="34">
        <v>1792.61</v>
      </c>
      <c r="J184" s="34">
        <v>340.87</v>
      </c>
      <c r="K184" s="34">
        <v>2133.48</v>
      </c>
      <c r="L184" s="33" t="s">
        <v>14</v>
      </c>
      <c r="M184" s="34">
        <f t="shared" si="25"/>
        <v>26.755373134328355</v>
      </c>
      <c r="N184" s="27">
        <v>67</v>
      </c>
      <c r="O184" s="38">
        <f>(M184*0.5)*3</f>
        <v>40.133059701492535</v>
      </c>
      <c r="P184" s="35">
        <f t="shared" si="24"/>
        <v>8.0299999999999994</v>
      </c>
      <c r="Q184" s="34">
        <f t="shared" si="26"/>
        <v>60.199589552238805</v>
      </c>
      <c r="R184" s="35"/>
    </row>
    <row r="185" spans="1:18" x14ac:dyDescent="0.3">
      <c r="A185" s="32">
        <v>43469</v>
      </c>
      <c r="B185" s="33" t="s">
        <v>87</v>
      </c>
      <c r="C185" s="34">
        <v>115</v>
      </c>
      <c r="D185" s="36">
        <v>5</v>
      </c>
      <c r="E185" s="33">
        <v>17.75</v>
      </c>
      <c r="F185" s="33">
        <v>110</v>
      </c>
      <c r="G185" s="34">
        <v>12.75</v>
      </c>
      <c r="H185" s="34">
        <v>0</v>
      </c>
      <c r="I185" s="34">
        <v>127.75</v>
      </c>
      <c r="J185" s="34">
        <v>22.89</v>
      </c>
      <c r="K185" s="34">
        <v>150.63999999999999</v>
      </c>
      <c r="L185" s="33" t="s">
        <v>14</v>
      </c>
      <c r="M185" s="34">
        <f t="shared" si="25"/>
        <v>25.55</v>
      </c>
      <c r="N185" s="27">
        <v>5</v>
      </c>
      <c r="O185" s="34">
        <v>0</v>
      </c>
      <c r="P185" s="35">
        <f t="shared" si="24"/>
        <v>0</v>
      </c>
      <c r="Q185" s="34">
        <f t="shared" si="26"/>
        <v>0</v>
      </c>
      <c r="R185" s="35"/>
    </row>
    <row r="186" spans="1:18" x14ac:dyDescent="0.3">
      <c r="A186" s="37" t="s">
        <v>77</v>
      </c>
      <c r="B186" s="33" t="s">
        <v>88</v>
      </c>
      <c r="C186" s="34">
        <v>1593</v>
      </c>
      <c r="D186" s="33">
        <v>80</v>
      </c>
      <c r="E186" s="33">
        <v>224.07</v>
      </c>
      <c r="F186" s="33">
        <v>1593</v>
      </c>
      <c r="G186" s="34">
        <v>224.07</v>
      </c>
      <c r="H186" s="34">
        <v>0</v>
      </c>
      <c r="I186" s="34">
        <v>1817.07</v>
      </c>
      <c r="J186" s="34">
        <v>340.25</v>
      </c>
      <c r="K186" s="34">
        <v>2157.3200000000002</v>
      </c>
      <c r="L186" s="33" t="s">
        <v>14</v>
      </c>
      <c r="M186" s="34" t="e">
        <f t="shared" si="25"/>
        <v>#DIV/0!</v>
      </c>
      <c r="N186" s="27"/>
      <c r="O186" s="34" t="e">
        <f t="shared" ref="O186:O192" si="27">((N186-80)*M186)*0.5</f>
        <v>#DIV/0!</v>
      </c>
      <c r="P186" s="35" t="e">
        <f t="shared" si="24"/>
        <v>#VALUE!</v>
      </c>
      <c r="Q186" s="34" t="e">
        <f t="shared" si="26"/>
        <v>#DIV/0!</v>
      </c>
      <c r="R186" s="35">
        <v>409.55</v>
      </c>
    </row>
    <row r="187" spans="1:18" x14ac:dyDescent="0.3">
      <c r="A187" s="37" t="s">
        <v>77</v>
      </c>
      <c r="B187" s="33" t="s">
        <v>88</v>
      </c>
      <c r="C187" s="34">
        <v>2377</v>
      </c>
      <c r="D187" s="33">
        <v>80</v>
      </c>
      <c r="E187" s="33">
        <v>414.1</v>
      </c>
      <c r="F187" s="36">
        <v>1377</v>
      </c>
      <c r="G187" s="34">
        <v>414.1</v>
      </c>
      <c r="H187" s="34">
        <v>0</v>
      </c>
      <c r="I187" s="34">
        <v>2791.1</v>
      </c>
      <c r="J187" s="34">
        <v>436.59</v>
      </c>
      <c r="K187" s="34">
        <v>3227.69</v>
      </c>
      <c r="L187" s="33" t="s">
        <v>14</v>
      </c>
      <c r="M187" s="34" t="e">
        <f t="shared" si="25"/>
        <v>#DIV/0!</v>
      </c>
      <c r="N187" s="27"/>
      <c r="O187" s="34" t="e">
        <f t="shared" si="27"/>
        <v>#DIV/0!</v>
      </c>
      <c r="P187" s="35" t="e">
        <f t="shared" si="24"/>
        <v>#VALUE!</v>
      </c>
      <c r="Q187" s="34" t="e">
        <f t="shared" si="26"/>
        <v>#DIV/0!</v>
      </c>
      <c r="R187" s="35"/>
    </row>
    <row r="188" spans="1:18" x14ac:dyDescent="0.3">
      <c r="A188" s="37" t="s">
        <v>77</v>
      </c>
      <c r="B188" s="33" t="s">
        <v>88</v>
      </c>
      <c r="C188" s="34">
        <v>1510</v>
      </c>
      <c r="D188" s="33">
        <v>80</v>
      </c>
      <c r="E188" s="33"/>
      <c r="F188" s="33">
        <v>1510</v>
      </c>
      <c r="G188" s="34">
        <v>165.91</v>
      </c>
      <c r="H188" s="34">
        <v>0</v>
      </c>
      <c r="I188" s="34">
        <v>1675.91</v>
      </c>
      <c r="J188" s="34">
        <v>309.88</v>
      </c>
      <c r="K188" s="34">
        <v>1985.79</v>
      </c>
      <c r="L188" s="33" t="s">
        <v>14</v>
      </c>
      <c r="M188" s="34" t="e">
        <f t="shared" si="25"/>
        <v>#DIV/0!</v>
      </c>
      <c r="N188" s="27"/>
      <c r="O188" s="34" t="e">
        <f t="shared" si="27"/>
        <v>#DIV/0!</v>
      </c>
      <c r="P188" s="35" t="e">
        <f t="shared" si="24"/>
        <v>#VALUE!</v>
      </c>
      <c r="Q188" s="34" t="e">
        <f t="shared" si="26"/>
        <v>#DIV/0!</v>
      </c>
      <c r="R188" s="35"/>
    </row>
    <row r="189" spans="1:18" x14ac:dyDescent="0.3">
      <c r="A189" s="37" t="s">
        <v>77</v>
      </c>
      <c r="B189" s="33" t="s">
        <v>88</v>
      </c>
      <c r="C189" s="34">
        <v>2228</v>
      </c>
      <c r="D189" s="33">
        <v>80</v>
      </c>
      <c r="E189" s="33"/>
      <c r="F189" s="36">
        <v>1240</v>
      </c>
      <c r="G189" s="34">
        <v>304.42</v>
      </c>
      <c r="H189" s="34">
        <v>12</v>
      </c>
      <c r="I189" s="34">
        <v>2544.42</v>
      </c>
      <c r="J189" s="34">
        <v>382.08</v>
      </c>
      <c r="K189" s="34">
        <v>2926.5</v>
      </c>
      <c r="L189" s="33" t="s">
        <v>14</v>
      </c>
      <c r="M189" s="34" t="e">
        <f t="shared" si="25"/>
        <v>#DIV/0!</v>
      </c>
      <c r="N189" s="27"/>
      <c r="O189" s="34" t="e">
        <f t="shared" si="27"/>
        <v>#DIV/0!</v>
      </c>
      <c r="P189" s="35" t="e">
        <f t="shared" si="24"/>
        <v>#VALUE!</v>
      </c>
      <c r="Q189" s="34" t="e">
        <f t="shared" si="26"/>
        <v>#DIV/0!</v>
      </c>
      <c r="R189" s="35"/>
    </row>
    <row r="190" spans="1:18" x14ac:dyDescent="0.3">
      <c r="A190" s="37" t="s">
        <v>77</v>
      </c>
      <c r="B190" s="33" t="s">
        <v>88</v>
      </c>
      <c r="C190" s="34">
        <v>1905</v>
      </c>
      <c r="D190" s="33">
        <v>80</v>
      </c>
      <c r="E190" s="33"/>
      <c r="F190" s="33">
        <v>1940</v>
      </c>
      <c r="G190" s="34">
        <v>235.89</v>
      </c>
      <c r="H190" s="34">
        <v>35</v>
      </c>
      <c r="I190" s="34">
        <v>2175.89</v>
      </c>
      <c r="J190" s="34">
        <v>295.39</v>
      </c>
      <c r="K190" s="34">
        <v>2471.2800000000002</v>
      </c>
      <c r="L190" s="33" t="s">
        <v>14</v>
      </c>
      <c r="M190" s="34" t="e">
        <f t="shared" si="25"/>
        <v>#DIV/0!</v>
      </c>
      <c r="N190" s="27"/>
      <c r="O190" s="34" t="e">
        <f t="shared" si="27"/>
        <v>#DIV/0!</v>
      </c>
      <c r="P190" s="35" t="e">
        <f t="shared" si="24"/>
        <v>#VALUE!</v>
      </c>
      <c r="Q190" s="34" t="e">
        <f t="shared" si="26"/>
        <v>#DIV/0!</v>
      </c>
      <c r="R190" s="35"/>
    </row>
    <row r="191" spans="1:18" x14ac:dyDescent="0.3">
      <c r="A191" s="37" t="s">
        <v>77</v>
      </c>
      <c r="B191" s="33" t="s">
        <v>88</v>
      </c>
      <c r="C191" s="34">
        <v>2100</v>
      </c>
      <c r="D191" s="33">
        <v>80</v>
      </c>
      <c r="E191" s="33"/>
      <c r="F191" s="33">
        <v>2100</v>
      </c>
      <c r="G191" s="34">
        <v>267.73</v>
      </c>
      <c r="H191" s="34">
        <v>0</v>
      </c>
      <c r="I191" s="34">
        <v>2367.73</v>
      </c>
      <c r="J191" s="34">
        <v>307.51</v>
      </c>
      <c r="K191" s="34">
        <v>2675.24</v>
      </c>
      <c r="L191" s="33">
        <v>100196</v>
      </c>
      <c r="M191" s="34" t="e">
        <f t="shared" si="25"/>
        <v>#DIV/0!</v>
      </c>
      <c r="N191" s="27"/>
      <c r="O191" s="34" t="e">
        <f t="shared" si="27"/>
        <v>#DIV/0!</v>
      </c>
      <c r="P191" s="35" t="e">
        <f t="shared" si="24"/>
        <v>#VALUE!</v>
      </c>
      <c r="Q191" s="34" t="e">
        <f t="shared" si="26"/>
        <v>#DIV/0!</v>
      </c>
      <c r="R191" s="35"/>
    </row>
    <row r="192" spans="1:18" x14ac:dyDescent="0.3">
      <c r="A192" s="37" t="s">
        <v>77</v>
      </c>
      <c r="B192" s="33" t="s">
        <v>89</v>
      </c>
      <c r="C192" s="34">
        <v>2500</v>
      </c>
      <c r="D192" s="33">
        <v>60</v>
      </c>
      <c r="E192" s="33"/>
      <c r="F192" s="33">
        <v>2500</v>
      </c>
      <c r="G192" s="34">
        <v>512.6</v>
      </c>
      <c r="H192" s="34">
        <v>0</v>
      </c>
      <c r="I192" s="34">
        <v>3012.6</v>
      </c>
      <c r="J192" s="34">
        <v>367.65</v>
      </c>
      <c r="K192" s="34">
        <v>3380.25</v>
      </c>
      <c r="L192" s="33" t="s">
        <v>14</v>
      </c>
      <c r="M192" s="34" t="e">
        <f t="shared" si="25"/>
        <v>#DIV/0!</v>
      </c>
      <c r="N192" s="27"/>
      <c r="O192" s="34" t="e">
        <f t="shared" si="27"/>
        <v>#DIV/0!</v>
      </c>
      <c r="P192" s="35" t="e">
        <f t="shared" si="24"/>
        <v>#VALUE!</v>
      </c>
      <c r="Q192" s="34" t="e">
        <f t="shared" si="26"/>
        <v>#DIV/0!</v>
      </c>
      <c r="R192" s="35">
        <v>409.55</v>
      </c>
    </row>
    <row r="193" spans="1:18" x14ac:dyDescent="0.3">
      <c r="A193" s="37">
        <v>43875</v>
      </c>
      <c r="B193" s="33" t="s">
        <v>89</v>
      </c>
      <c r="C193" s="34">
        <v>1069</v>
      </c>
      <c r="D193" s="36">
        <v>42</v>
      </c>
      <c r="E193" s="33"/>
      <c r="F193" s="33">
        <v>1269</v>
      </c>
      <c r="G193" s="34">
        <v>217.41</v>
      </c>
      <c r="H193" s="34">
        <v>200</v>
      </c>
      <c r="I193" s="34">
        <v>1486.41</v>
      </c>
      <c r="J193" s="34">
        <v>224.57</v>
      </c>
      <c r="K193" s="34">
        <v>1710.98</v>
      </c>
      <c r="L193" s="33" t="s">
        <v>14</v>
      </c>
      <c r="M193" s="34">
        <f t="shared" si="25"/>
        <v>18</v>
      </c>
      <c r="N193" s="27">
        <v>70.5</v>
      </c>
      <c r="O193" s="38">
        <f>(M193*0.5)*2</f>
        <v>18</v>
      </c>
      <c r="P193" s="35">
        <f t="shared" si="24"/>
        <v>1.08</v>
      </c>
      <c r="Q193" s="34">
        <f t="shared" si="26"/>
        <v>27</v>
      </c>
      <c r="R193" s="35"/>
    </row>
    <row r="194" spans="1:18" x14ac:dyDescent="0.3">
      <c r="A194" s="32">
        <v>43721</v>
      </c>
      <c r="B194" s="33" t="s">
        <v>90</v>
      </c>
      <c r="C194" s="34">
        <v>1161</v>
      </c>
      <c r="D194" s="36">
        <v>44.5</v>
      </c>
      <c r="E194" s="33">
        <v>134.22999999999999</v>
      </c>
      <c r="F194" s="33">
        <v>1161</v>
      </c>
      <c r="G194" s="34">
        <v>134.22999999999999</v>
      </c>
      <c r="H194" s="34">
        <v>0</v>
      </c>
      <c r="I194" s="34">
        <v>1295.23</v>
      </c>
      <c r="J194" s="34">
        <v>248.49</v>
      </c>
      <c r="K194" s="34">
        <v>1543.72</v>
      </c>
      <c r="L194" s="33" t="s">
        <v>14</v>
      </c>
      <c r="M194" s="34">
        <f t="shared" si="25"/>
        <v>17.385637583892617</v>
      </c>
      <c r="N194" s="27">
        <v>74.5</v>
      </c>
      <c r="O194" s="38">
        <f>(M194*0.5)*4.5</f>
        <v>39.117684563758388</v>
      </c>
      <c r="P194" s="35">
        <f t="shared" si="24"/>
        <v>4.3</v>
      </c>
      <c r="Q194" s="34">
        <f t="shared" si="26"/>
        <v>58.676526845637582</v>
      </c>
      <c r="R194" s="35">
        <v>409.55</v>
      </c>
    </row>
    <row r="195" spans="1:18" x14ac:dyDescent="0.3">
      <c r="A195" s="32">
        <v>43735</v>
      </c>
      <c r="B195" s="33" t="s">
        <v>90</v>
      </c>
      <c r="C195" s="34">
        <v>1792</v>
      </c>
      <c r="D195" s="33">
        <v>80</v>
      </c>
      <c r="E195" s="33">
        <v>266.93</v>
      </c>
      <c r="F195" s="33">
        <v>1962</v>
      </c>
      <c r="G195" s="34">
        <v>266.93</v>
      </c>
      <c r="H195" s="34">
        <v>170</v>
      </c>
      <c r="I195" s="34">
        <v>2228.9299999999998</v>
      </c>
      <c r="J195" s="34">
        <v>380.99</v>
      </c>
      <c r="K195" s="34">
        <v>2609.92</v>
      </c>
      <c r="L195" s="33" t="s">
        <v>14</v>
      </c>
      <c r="M195" s="34">
        <f t="shared" si="25"/>
        <v>20.448899082568804</v>
      </c>
      <c r="N195" s="27">
        <v>109</v>
      </c>
      <c r="O195" s="34">
        <f>((N195-80)*M195)*0.5</f>
        <v>296.50903669724767</v>
      </c>
      <c r="P195" s="35">
        <f t="shared" si="24"/>
        <v>32.619999999999997</v>
      </c>
      <c r="Q195" s="34">
        <f t="shared" si="26"/>
        <v>444.7635550458715</v>
      </c>
      <c r="R195" s="35"/>
    </row>
    <row r="196" spans="1:18" x14ac:dyDescent="0.3">
      <c r="A196" s="32">
        <v>43749</v>
      </c>
      <c r="B196" s="33" t="s">
        <v>90</v>
      </c>
      <c r="C196" s="34">
        <v>1916</v>
      </c>
      <c r="D196" s="33">
        <v>80</v>
      </c>
      <c r="E196" s="33">
        <v>278.69</v>
      </c>
      <c r="F196" s="33">
        <v>2016</v>
      </c>
      <c r="G196" s="34">
        <v>278.69</v>
      </c>
      <c r="H196" s="34">
        <v>100</v>
      </c>
      <c r="I196" s="34">
        <v>2294.69</v>
      </c>
      <c r="J196" s="34">
        <v>387.48</v>
      </c>
      <c r="K196" s="34">
        <v>2682.17</v>
      </c>
      <c r="L196" s="33" t="s">
        <v>14</v>
      </c>
      <c r="M196" s="34">
        <f t="shared" si="25"/>
        <v>20.397244444444446</v>
      </c>
      <c r="N196" s="27">
        <v>112.5</v>
      </c>
      <c r="O196" s="34">
        <f>((N196-80)*M196)*0.5</f>
        <v>331.45522222222223</v>
      </c>
      <c r="P196" s="35">
        <f t="shared" si="24"/>
        <v>33.15</v>
      </c>
      <c r="Q196" s="34">
        <f t="shared" si="26"/>
        <v>497.18283333333335</v>
      </c>
      <c r="R196" s="35"/>
    </row>
    <row r="197" spans="1:18" x14ac:dyDescent="0.3">
      <c r="A197" s="32">
        <v>43763</v>
      </c>
      <c r="B197" s="33" t="s">
        <v>90</v>
      </c>
      <c r="C197" s="34">
        <v>1710</v>
      </c>
      <c r="D197" s="33">
        <v>80</v>
      </c>
      <c r="E197" s="33">
        <v>211.96</v>
      </c>
      <c r="F197" s="33">
        <v>1710</v>
      </c>
      <c r="G197" s="34">
        <v>211.96</v>
      </c>
      <c r="H197" s="34">
        <v>0</v>
      </c>
      <c r="I197" s="34">
        <v>1921.96</v>
      </c>
      <c r="J197" s="34">
        <v>346.18</v>
      </c>
      <c r="K197" s="34">
        <v>2268.14</v>
      </c>
      <c r="L197" s="33" t="s">
        <v>14</v>
      </c>
      <c r="M197" s="34">
        <f t="shared" si="25"/>
        <v>20.231157894736842</v>
      </c>
      <c r="N197" s="27">
        <v>95</v>
      </c>
      <c r="O197" s="34">
        <f>((N197-80)*M197)*0.5</f>
        <v>151.73368421052632</v>
      </c>
      <c r="P197" s="35">
        <f t="shared" si="24"/>
        <v>15.17</v>
      </c>
      <c r="Q197" s="34">
        <f t="shared" si="26"/>
        <v>227.60052631578947</v>
      </c>
      <c r="R197" s="35"/>
    </row>
    <row r="198" spans="1:18" x14ac:dyDescent="0.3">
      <c r="A198" s="32">
        <v>43777</v>
      </c>
      <c r="B198" s="33" t="s">
        <v>90</v>
      </c>
      <c r="C198" s="34">
        <v>1890</v>
      </c>
      <c r="D198" s="33">
        <v>80</v>
      </c>
      <c r="E198" s="33">
        <v>251.23</v>
      </c>
      <c r="F198" s="33">
        <v>1890</v>
      </c>
      <c r="G198" s="34">
        <v>251.23</v>
      </c>
      <c r="H198" s="34">
        <v>0</v>
      </c>
      <c r="I198" s="34">
        <v>2141.23</v>
      </c>
      <c r="J198" s="34">
        <v>359.47</v>
      </c>
      <c r="K198" s="34">
        <v>2500.6999999999998</v>
      </c>
      <c r="L198" s="33" t="s">
        <v>14</v>
      </c>
      <c r="M198" s="34">
        <f t="shared" si="25"/>
        <v>20.392666666666667</v>
      </c>
      <c r="N198" s="27">
        <v>105</v>
      </c>
      <c r="O198" s="34">
        <f>((N198-80)*M198)*0.5</f>
        <v>254.90833333333333</v>
      </c>
      <c r="P198" s="35">
        <f t="shared" si="24"/>
        <v>22.94</v>
      </c>
      <c r="Q198" s="34">
        <f t="shared" si="26"/>
        <v>382.36250000000001</v>
      </c>
      <c r="R198" s="35"/>
    </row>
    <row r="199" spans="1:18" x14ac:dyDescent="0.3">
      <c r="A199" s="32">
        <v>43791</v>
      </c>
      <c r="B199" s="33" t="s">
        <v>90</v>
      </c>
      <c r="C199" s="34">
        <v>1909</v>
      </c>
      <c r="D199" s="33">
        <v>80</v>
      </c>
      <c r="E199" s="33">
        <v>255.36</v>
      </c>
      <c r="F199" s="33">
        <v>1909</v>
      </c>
      <c r="G199" s="34">
        <v>255.36</v>
      </c>
      <c r="H199" s="34">
        <v>0</v>
      </c>
      <c r="I199" s="34">
        <v>2164.36</v>
      </c>
      <c r="J199" s="34">
        <v>361.6</v>
      </c>
      <c r="K199" s="34">
        <v>2525.96</v>
      </c>
      <c r="L199" s="33" t="s">
        <v>14</v>
      </c>
      <c r="M199" s="34">
        <f t="shared" si="25"/>
        <v>21.535920398009953</v>
      </c>
      <c r="N199" s="27">
        <v>100.5</v>
      </c>
      <c r="O199" s="34">
        <f>((N199-80)*M199)*0.5</f>
        <v>220.74318407960203</v>
      </c>
      <c r="P199" s="35">
        <f t="shared" si="24"/>
        <v>19.87</v>
      </c>
      <c r="Q199" s="34">
        <f t="shared" si="26"/>
        <v>331.11477611940302</v>
      </c>
      <c r="R199" s="35"/>
    </row>
    <row r="200" spans="1:18" x14ac:dyDescent="0.3">
      <c r="A200" s="32">
        <v>43805</v>
      </c>
      <c r="B200" s="33" t="s">
        <v>90</v>
      </c>
      <c r="C200" s="34">
        <v>1453</v>
      </c>
      <c r="D200" s="36">
        <v>49.5</v>
      </c>
      <c r="E200" s="33">
        <v>170.82</v>
      </c>
      <c r="F200" s="33">
        <v>1453</v>
      </c>
      <c r="G200" s="34">
        <v>170.82</v>
      </c>
      <c r="H200" s="34">
        <v>0</v>
      </c>
      <c r="I200" s="34">
        <v>1623.82</v>
      </c>
      <c r="J200" s="34">
        <v>311.39</v>
      </c>
      <c r="K200" s="34">
        <v>1935.21</v>
      </c>
      <c r="L200" s="33" t="s">
        <v>14</v>
      </c>
      <c r="M200" s="34">
        <f t="shared" si="25"/>
        <v>21.226405228758168</v>
      </c>
      <c r="N200" s="27">
        <v>76.5</v>
      </c>
      <c r="O200" s="38">
        <f>(M200*0.5)*9.5</f>
        <v>100.8254248366013</v>
      </c>
      <c r="P200" s="35">
        <f t="shared" si="24"/>
        <v>9.07</v>
      </c>
      <c r="Q200" s="34">
        <f t="shared" si="26"/>
        <v>151.23813725490194</v>
      </c>
      <c r="R200" s="35"/>
    </row>
    <row r="201" spans="1:18" x14ac:dyDescent="0.3">
      <c r="A201" s="32">
        <v>43819</v>
      </c>
      <c r="B201" s="33" t="s">
        <v>90</v>
      </c>
      <c r="C201" s="34">
        <v>2707</v>
      </c>
      <c r="D201" s="33">
        <v>80</v>
      </c>
      <c r="E201" s="33">
        <v>445.47</v>
      </c>
      <c r="F201" s="33">
        <v>2707</v>
      </c>
      <c r="G201" s="34">
        <v>445.47</v>
      </c>
      <c r="H201" s="34">
        <v>0</v>
      </c>
      <c r="I201" s="34">
        <v>3152.47</v>
      </c>
      <c r="J201" s="34">
        <v>453.41</v>
      </c>
      <c r="K201" s="34">
        <v>3605.88</v>
      </c>
      <c r="L201" s="33" t="s">
        <v>14</v>
      </c>
      <c r="M201" s="34">
        <f t="shared" si="25"/>
        <v>32.00477157360406</v>
      </c>
      <c r="N201" s="27">
        <v>98.5</v>
      </c>
      <c r="O201" s="34">
        <f t="shared" ref="O201:O216" si="28">((N201-80)*M201)*0.5</f>
        <v>296.04413705583755</v>
      </c>
      <c r="P201" s="35">
        <f t="shared" si="24"/>
        <v>23.68</v>
      </c>
      <c r="Q201" s="34">
        <f t="shared" si="26"/>
        <v>444.0662055837563</v>
      </c>
      <c r="R201" s="35"/>
    </row>
    <row r="202" spans="1:18" x14ac:dyDescent="0.3">
      <c r="A202" s="37" t="s">
        <v>77</v>
      </c>
      <c r="B202" s="33" t="s">
        <v>91</v>
      </c>
      <c r="C202" s="34">
        <v>3625</v>
      </c>
      <c r="D202" s="33">
        <v>80</v>
      </c>
      <c r="E202" s="33">
        <v>547.58000000000004</v>
      </c>
      <c r="F202" s="36">
        <v>2640</v>
      </c>
      <c r="G202" s="34">
        <v>562.58000000000004</v>
      </c>
      <c r="H202" s="34">
        <v>0</v>
      </c>
      <c r="I202" s="34">
        <v>4187.58</v>
      </c>
      <c r="J202" s="34">
        <v>481.22</v>
      </c>
      <c r="K202" s="34">
        <v>4668.8</v>
      </c>
      <c r="L202" s="33">
        <v>100102</v>
      </c>
      <c r="M202" s="34" t="e">
        <f t="shared" si="25"/>
        <v>#DIV/0!</v>
      </c>
      <c r="N202" s="27"/>
      <c r="O202" s="34" t="e">
        <f t="shared" si="28"/>
        <v>#DIV/0!</v>
      </c>
      <c r="P202" s="35" t="e">
        <f t="shared" si="24"/>
        <v>#VALUE!</v>
      </c>
      <c r="Q202" s="34" t="e">
        <f t="shared" si="26"/>
        <v>#DIV/0!</v>
      </c>
      <c r="R202" s="35">
        <v>409.55</v>
      </c>
    </row>
    <row r="203" spans="1:18" x14ac:dyDescent="0.3">
      <c r="A203" s="37" t="s">
        <v>77</v>
      </c>
      <c r="B203" s="33" t="s">
        <v>91</v>
      </c>
      <c r="C203" s="34">
        <v>1060</v>
      </c>
      <c r="D203" s="33">
        <v>60</v>
      </c>
      <c r="E203" s="33">
        <v>154.24</v>
      </c>
      <c r="F203" s="33">
        <v>1620</v>
      </c>
      <c r="G203" s="34">
        <v>274.24</v>
      </c>
      <c r="H203" s="34">
        <v>440</v>
      </c>
      <c r="I203" s="34">
        <v>1774.24</v>
      </c>
      <c r="J203" s="34">
        <v>298.88</v>
      </c>
      <c r="K203" s="34">
        <v>2073.12</v>
      </c>
      <c r="L203" s="33">
        <v>100105</v>
      </c>
      <c r="M203" s="34" t="e">
        <f t="shared" si="25"/>
        <v>#DIV/0!</v>
      </c>
      <c r="N203" s="27"/>
      <c r="O203" s="34" t="e">
        <f t="shared" si="28"/>
        <v>#DIV/0!</v>
      </c>
      <c r="P203" s="35" t="e">
        <f t="shared" si="24"/>
        <v>#VALUE!</v>
      </c>
      <c r="Q203" s="34" t="e">
        <f t="shared" si="26"/>
        <v>#DIV/0!</v>
      </c>
      <c r="R203" s="35"/>
    </row>
    <row r="204" spans="1:18" x14ac:dyDescent="0.3">
      <c r="A204" s="37" t="s">
        <v>77</v>
      </c>
      <c r="B204" s="33" t="s">
        <v>91</v>
      </c>
      <c r="C204" s="34">
        <v>1825</v>
      </c>
      <c r="D204" s="33">
        <v>80</v>
      </c>
      <c r="E204" s="33">
        <v>636.5</v>
      </c>
      <c r="F204" s="33">
        <v>2800</v>
      </c>
      <c r="G204" s="34">
        <v>611.5</v>
      </c>
      <c r="H204" s="34">
        <v>1000</v>
      </c>
      <c r="I204" s="34">
        <v>3436.5</v>
      </c>
      <c r="J204" s="34">
        <v>497.87</v>
      </c>
      <c r="K204" s="34">
        <v>3934.37</v>
      </c>
      <c r="L204" s="33">
        <v>100113</v>
      </c>
      <c r="M204" s="34" t="e">
        <f t="shared" si="25"/>
        <v>#DIV/0!</v>
      </c>
      <c r="N204" s="27"/>
      <c r="O204" s="34" t="e">
        <f t="shared" si="28"/>
        <v>#DIV/0!</v>
      </c>
      <c r="P204" s="35" t="e">
        <f t="shared" si="24"/>
        <v>#VALUE!</v>
      </c>
      <c r="Q204" s="34" t="e">
        <f t="shared" si="26"/>
        <v>#DIV/0!</v>
      </c>
      <c r="R204" s="35"/>
    </row>
    <row r="205" spans="1:18" x14ac:dyDescent="0.3">
      <c r="A205" s="37" t="s">
        <v>77</v>
      </c>
      <c r="B205" s="33" t="s">
        <v>91</v>
      </c>
      <c r="C205" s="34">
        <v>1125</v>
      </c>
      <c r="D205" s="33">
        <v>45</v>
      </c>
      <c r="E205" s="33">
        <v>89.81</v>
      </c>
      <c r="F205" s="33">
        <v>1215</v>
      </c>
      <c r="G205" s="34">
        <v>179.81</v>
      </c>
      <c r="H205" s="34">
        <v>0</v>
      </c>
      <c r="I205" s="34">
        <v>1304.81</v>
      </c>
      <c r="J205" s="34">
        <v>221.57</v>
      </c>
      <c r="K205" s="34">
        <v>1526.38</v>
      </c>
      <c r="L205" s="33">
        <v>100119</v>
      </c>
      <c r="M205" s="34" t="e">
        <f t="shared" si="25"/>
        <v>#DIV/0!</v>
      </c>
      <c r="N205" s="27"/>
      <c r="O205" s="34" t="e">
        <f t="shared" si="28"/>
        <v>#DIV/0!</v>
      </c>
      <c r="P205" s="35" t="e">
        <f t="shared" si="24"/>
        <v>#VALUE!</v>
      </c>
      <c r="Q205" s="34" t="e">
        <f t="shared" si="26"/>
        <v>#DIV/0!</v>
      </c>
      <c r="R205" s="35"/>
    </row>
    <row r="206" spans="1:18" x14ac:dyDescent="0.3">
      <c r="A206" s="37" t="s">
        <v>77</v>
      </c>
      <c r="B206" s="33" t="s">
        <v>91</v>
      </c>
      <c r="C206" s="34">
        <v>425</v>
      </c>
      <c r="D206" s="33">
        <v>80</v>
      </c>
      <c r="E206" s="33">
        <v>168.62</v>
      </c>
      <c r="F206" s="33">
        <v>1424.8</v>
      </c>
      <c r="G206" s="34">
        <v>168.42</v>
      </c>
      <c r="H206" s="34">
        <v>1000</v>
      </c>
      <c r="I206" s="34">
        <v>1593.42</v>
      </c>
      <c r="J206" s="34">
        <v>320.83</v>
      </c>
      <c r="K206" s="34">
        <v>1914.25</v>
      </c>
      <c r="L206" s="33">
        <v>100128</v>
      </c>
      <c r="M206" s="34" t="e">
        <f t="shared" si="25"/>
        <v>#DIV/0!</v>
      </c>
      <c r="N206" s="27"/>
      <c r="O206" s="34" t="e">
        <f t="shared" si="28"/>
        <v>#DIV/0!</v>
      </c>
      <c r="P206" s="35" t="e">
        <f t="shared" si="24"/>
        <v>#VALUE!</v>
      </c>
      <c r="Q206" s="34" t="e">
        <f t="shared" si="26"/>
        <v>#DIV/0!</v>
      </c>
      <c r="R206" s="35"/>
    </row>
    <row r="207" spans="1:18" x14ac:dyDescent="0.3">
      <c r="A207" s="37" t="s">
        <v>77</v>
      </c>
      <c r="B207" s="33" t="s">
        <v>91</v>
      </c>
      <c r="C207" s="34">
        <v>425</v>
      </c>
      <c r="D207" s="33">
        <v>80</v>
      </c>
      <c r="E207" s="33">
        <v>1409.86</v>
      </c>
      <c r="F207" s="33">
        <v>2160</v>
      </c>
      <c r="G207" s="34">
        <v>644.86</v>
      </c>
      <c r="H207" s="34">
        <v>2500</v>
      </c>
      <c r="I207" s="34">
        <v>3569.86</v>
      </c>
      <c r="J207" s="34">
        <v>519.66999999999996</v>
      </c>
      <c r="K207" s="34">
        <v>4089.53</v>
      </c>
      <c r="L207" s="33">
        <v>100137</v>
      </c>
      <c r="M207" s="34" t="e">
        <f t="shared" si="25"/>
        <v>#DIV/0!</v>
      </c>
      <c r="N207" s="27"/>
      <c r="O207" s="34" t="e">
        <f t="shared" si="28"/>
        <v>#DIV/0!</v>
      </c>
      <c r="P207" s="35" t="e">
        <f t="shared" si="24"/>
        <v>#VALUE!</v>
      </c>
      <c r="Q207" s="34" t="e">
        <f t="shared" si="26"/>
        <v>#DIV/0!</v>
      </c>
      <c r="R207" s="35"/>
    </row>
    <row r="208" spans="1:18" x14ac:dyDescent="0.3">
      <c r="A208" s="37" t="s">
        <v>77</v>
      </c>
      <c r="B208" s="33" t="s">
        <v>91</v>
      </c>
      <c r="C208" s="34">
        <v>625</v>
      </c>
      <c r="D208" s="33">
        <v>25</v>
      </c>
      <c r="E208" s="33">
        <v>68.06</v>
      </c>
      <c r="F208" s="33">
        <v>625</v>
      </c>
      <c r="G208" s="34">
        <v>68.06</v>
      </c>
      <c r="H208" s="34">
        <v>0</v>
      </c>
      <c r="I208" s="34">
        <v>693.06</v>
      </c>
      <c r="J208" s="34">
        <v>118.92</v>
      </c>
      <c r="K208" s="34">
        <v>811.98</v>
      </c>
      <c r="L208" s="33" t="s">
        <v>14</v>
      </c>
      <c r="M208" s="34" t="e">
        <f t="shared" si="25"/>
        <v>#DIV/0!</v>
      </c>
      <c r="N208" s="27"/>
      <c r="O208" s="34" t="e">
        <f t="shared" si="28"/>
        <v>#DIV/0!</v>
      </c>
      <c r="P208" s="35" t="e">
        <f t="shared" si="24"/>
        <v>#VALUE!</v>
      </c>
      <c r="Q208" s="34" t="e">
        <f t="shared" si="26"/>
        <v>#DIV/0!</v>
      </c>
      <c r="R208" s="35"/>
    </row>
    <row r="209" spans="1:18" x14ac:dyDescent="0.3">
      <c r="A209" s="37" t="s">
        <v>77</v>
      </c>
      <c r="B209" s="33" t="s">
        <v>91</v>
      </c>
      <c r="C209" s="34">
        <v>2837</v>
      </c>
      <c r="D209" s="33">
        <v>0</v>
      </c>
      <c r="E209" s="33"/>
      <c r="F209" s="33">
        <v>2837</v>
      </c>
      <c r="G209" s="34">
        <v>569.94000000000005</v>
      </c>
      <c r="H209" s="34">
        <v>0</v>
      </c>
      <c r="I209" s="34">
        <v>3406.94</v>
      </c>
      <c r="J209" s="34">
        <v>322.3</v>
      </c>
      <c r="K209" s="34">
        <v>3729.24</v>
      </c>
      <c r="L209" s="33" t="s">
        <v>14</v>
      </c>
      <c r="M209" s="34" t="e">
        <f t="shared" si="25"/>
        <v>#DIV/0!</v>
      </c>
      <c r="N209" s="27"/>
      <c r="O209" s="34" t="e">
        <f t="shared" si="28"/>
        <v>#DIV/0!</v>
      </c>
      <c r="P209" s="35" t="e">
        <f t="shared" ref="P209:P240" si="29">ROUND(((ROUNDDOWN(($T$1-A209)/30,0))/100)*O209,2)</f>
        <v>#VALUE!</v>
      </c>
      <c r="Q209" s="34" t="e">
        <f t="shared" si="26"/>
        <v>#DIV/0!</v>
      </c>
      <c r="R209" s="35"/>
    </row>
    <row r="210" spans="1:18" x14ac:dyDescent="0.3">
      <c r="A210" s="37" t="s">
        <v>77</v>
      </c>
      <c r="B210" s="33" t="s">
        <v>91</v>
      </c>
      <c r="C210" s="34">
        <v>2875</v>
      </c>
      <c r="D210" s="33">
        <v>80</v>
      </c>
      <c r="E210" s="33">
        <v>1347.43</v>
      </c>
      <c r="F210" s="33">
        <v>2160</v>
      </c>
      <c r="G210" s="34">
        <v>632.42999999999995</v>
      </c>
      <c r="H210" s="34">
        <v>0</v>
      </c>
      <c r="I210" s="34">
        <v>3507.43</v>
      </c>
      <c r="J210" s="34">
        <v>492.34</v>
      </c>
      <c r="K210" s="34">
        <v>3999.77</v>
      </c>
      <c r="L210" s="33" t="s">
        <v>14</v>
      </c>
      <c r="M210" s="34" t="e">
        <f t="shared" si="25"/>
        <v>#DIV/0!</v>
      </c>
      <c r="N210" s="27"/>
      <c r="O210" s="34" t="e">
        <f t="shared" si="28"/>
        <v>#DIV/0!</v>
      </c>
      <c r="P210" s="35" t="e">
        <f t="shared" si="29"/>
        <v>#VALUE!</v>
      </c>
      <c r="Q210" s="34" t="e">
        <f t="shared" si="26"/>
        <v>#DIV/0!</v>
      </c>
      <c r="R210" s="35"/>
    </row>
    <row r="211" spans="1:18" x14ac:dyDescent="0.3">
      <c r="A211" s="37" t="s">
        <v>77</v>
      </c>
      <c r="B211" s="33" t="s">
        <v>91</v>
      </c>
      <c r="C211" s="34">
        <v>2750</v>
      </c>
      <c r="D211" s="33">
        <v>80</v>
      </c>
      <c r="E211" s="33">
        <v>1191.3699999999999</v>
      </c>
      <c r="F211" s="33">
        <v>2160</v>
      </c>
      <c r="G211" s="34">
        <v>601.37</v>
      </c>
      <c r="H211" s="34">
        <v>0</v>
      </c>
      <c r="I211" s="34">
        <v>3351.37</v>
      </c>
      <c r="J211" s="34">
        <v>477.58</v>
      </c>
      <c r="K211" s="34">
        <v>3828.95</v>
      </c>
      <c r="L211" s="33" t="s">
        <v>14</v>
      </c>
      <c r="M211" s="34" t="e">
        <f t="shared" si="25"/>
        <v>#DIV/0!</v>
      </c>
      <c r="N211" s="27"/>
      <c r="O211" s="34" t="e">
        <f t="shared" si="28"/>
        <v>#DIV/0!</v>
      </c>
      <c r="P211" s="35" t="e">
        <f t="shared" si="29"/>
        <v>#VALUE!</v>
      </c>
      <c r="Q211" s="34" t="e">
        <f t="shared" si="26"/>
        <v>#DIV/0!</v>
      </c>
      <c r="R211" s="35"/>
    </row>
    <row r="212" spans="1:18" x14ac:dyDescent="0.3">
      <c r="A212" s="37" t="s">
        <v>77</v>
      </c>
      <c r="B212" s="33" t="s">
        <v>91</v>
      </c>
      <c r="C212" s="34">
        <v>3050</v>
      </c>
      <c r="D212" s="33">
        <v>80</v>
      </c>
      <c r="E212" s="33">
        <v>1565.92</v>
      </c>
      <c r="F212" s="33">
        <v>2160</v>
      </c>
      <c r="G212" s="34">
        <v>675.92</v>
      </c>
      <c r="H212" s="34">
        <v>0</v>
      </c>
      <c r="I212" s="34">
        <v>3725.92</v>
      </c>
      <c r="J212" s="34">
        <v>513.01</v>
      </c>
      <c r="K212" s="34">
        <v>4238.93</v>
      </c>
      <c r="L212" s="33" t="s">
        <v>14</v>
      </c>
      <c r="M212" s="34" t="e">
        <f t="shared" si="25"/>
        <v>#DIV/0!</v>
      </c>
      <c r="N212" s="27"/>
      <c r="O212" s="34" t="e">
        <f t="shared" si="28"/>
        <v>#DIV/0!</v>
      </c>
      <c r="P212" s="35" t="e">
        <f t="shared" si="29"/>
        <v>#VALUE!</v>
      </c>
      <c r="Q212" s="34" t="e">
        <f t="shared" si="26"/>
        <v>#DIV/0!</v>
      </c>
      <c r="R212" s="35"/>
    </row>
    <row r="213" spans="1:18" x14ac:dyDescent="0.3">
      <c r="A213" s="37" t="s">
        <v>77</v>
      </c>
      <c r="B213" s="33" t="s">
        <v>91</v>
      </c>
      <c r="C213" s="34">
        <v>1325</v>
      </c>
      <c r="D213" s="33">
        <v>53</v>
      </c>
      <c r="E213" s="33">
        <v>123.35</v>
      </c>
      <c r="F213" s="33">
        <v>1431</v>
      </c>
      <c r="G213" s="34">
        <v>229.35</v>
      </c>
      <c r="H213" s="34">
        <v>0</v>
      </c>
      <c r="I213" s="34">
        <v>1554.35</v>
      </c>
      <c r="J213" s="34">
        <v>250.75</v>
      </c>
      <c r="K213" s="34">
        <v>1805.1</v>
      </c>
      <c r="L213" s="33" t="s">
        <v>14</v>
      </c>
      <c r="M213" s="34" t="e">
        <f t="shared" si="25"/>
        <v>#DIV/0!</v>
      </c>
      <c r="N213" s="27"/>
      <c r="O213" s="34" t="e">
        <f t="shared" si="28"/>
        <v>#DIV/0!</v>
      </c>
      <c r="P213" s="35" t="e">
        <f t="shared" si="29"/>
        <v>#VALUE!</v>
      </c>
      <c r="Q213" s="34" t="e">
        <f t="shared" si="26"/>
        <v>#DIV/0!</v>
      </c>
      <c r="R213" s="35"/>
    </row>
    <row r="214" spans="1:18" x14ac:dyDescent="0.3">
      <c r="A214" s="37" t="s">
        <v>77</v>
      </c>
      <c r="B214" s="33" t="s">
        <v>91</v>
      </c>
      <c r="C214" s="34">
        <v>1775</v>
      </c>
      <c r="D214" s="33">
        <v>71</v>
      </c>
      <c r="E214" s="33">
        <v>211.12</v>
      </c>
      <c r="F214" s="33">
        <v>1917</v>
      </c>
      <c r="G214" s="34">
        <v>353.12</v>
      </c>
      <c r="H214" s="34">
        <v>0</v>
      </c>
      <c r="I214" s="34">
        <v>2128.12</v>
      </c>
      <c r="J214" s="34">
        <v>340.2</v>
      </c>
      <c r="K214" s="34">
        <v>2468.3200000000002</v>
      </c>
      <c r="L214" s="33" t="s">
        <v>14</v>
      </c>
      <c r="M214" s="34" t="e">
        <f t="shared" si="25"/>
        <v>#DIV/0!</v>
      </c>
      <c r="N214" s="27"/>
      <c r="O214" s="34" t="e">
        <f t="shared" si="28"/>
        <v>#DIV/0!</v>
      </c>
      <c r="P214" s="35" t="e">
        <f t="shared" si="29"/>
        <v>#VALUE!</v>
      </c>
      <c r="Q214" s="34" t="e">
        <f t="shared" si="26"/>
        <v>#DIV/0!</v>
      </c>
      <c r="R214" s="35"/>
    </row>
    <row r="215" spans="1:18" x14ac:dyDescent="0.3">
      <c r="A215" s="37" t="s">
        <v>77</v>
      </c>
      <c r="B215" s="33" t="s">
        <v>91</v>
      </c>
      <c r="C215" s="34">
        <v>2087</v>
      </c>
      <c r="D215" s="33">
        <v>80</v>
      </c>
      <c r="E215" s="33">
        <v>363.6</v>
      </c>
      <c r="F215" s="33">
        <v>2160</v>
      </c>
      <c r="G215" s="34">
        <v>436.6</v>
      </c>
      <c r="H215" s="34">
        <v>0</v>
      </c>
      <c r="I215" s="34">
        <v>2523.6</v>
      </c>
      <c r="J215" s="34">
        <v>394.97</v>
      </c>
      <c r="K215" s="34">
        <v>2918.57</v>
      </c>
      <c r="L215" s="33" t="s">
        <v>14</v>
      </c>
      <c r="M215" s="34" t="e">
        <f t="shared" si="25"/>
        <v>#DIV/0!</v>
      </c>
      <c r="N215" s="27"/>
      <c r="O215" s="34" t="e">
        <f t="shared" si="28"/>
        <v>#DIV/0!</v>
      </c>
      <c r="P215" s="35" t="e">
        <f t="shared" si="29"/>
        <v>#VALUE!</v>
      </c>
      <c r="Q215" s="34" t="e">
        <f t="shared" si="26"/>
        <v>#DIV/0!</v>
      </c>
      <c r="R215" s="35"/>
    </row>
    <row r="216" spans="1:18" x14ac:dyDescent="0.3">
      <c r="A216" s="37" t="s">
        <v>77</v>
      </c>
      <c r="B216" s="33" t="s">
        <v>91</v>
      </c>
      <c r="C216" s="34">
        <v>1550</v>
      </c>
      <c r="D216" s="33">
        <v>62</v>
      </c>
      <c r="E216" s="33">
        <v>167.25</v>
      </c>
      <c r="F216" s="33">
        <v>1674</v>
      </c>
      <c r="G216" s="34">
        <v>291.25</v>
      </c>
      <c r="H216" s="34">
        <v>0</v>
      </c>
      <c r="I216" s="34">
        <v>1841.25</v>
      </c>
      <c r="J216" s="34">
        <v>295.48</v>
      </c>
      <c r="K216" s="34">
        <v>2136.73</v>
      </c>
      <c r="L216" s="33" t="s">
        <v>14</v>
      </c>
      <c r="M216" s="34" t="e">
        <f t="shared" si="25"/>
        <v>#DIV/0!</v>
      </c>
      <c r="N216" s="27"/>
      <c r="O216" s="34" t="e">
        <f t="shared" si="28"/>
        <v>#DIV/0!</v>
      </c>
      <c r="P216" s="35" t="e">
        <f t="shared" si="29"/>
        <v>#VALUE!</v>
      </c>
      <c r="Q216" s="34" t="e">
        <f t="shared" si="26"/>
        <v>#DIV/0!</v>
      </c>
      <c r="R216" s="35"/>
    </row>
    <row r="217" spans="1:18" x14ac:dyDescent="0.3">
      <c r="A217" s="37">
        <v>43771</v>
      </c>
      <c r="B217" s="36" t="s">
        <v>92</v>
      </c>
      <c r="C217" s="34"/>
      <c r="D217" s="31">
        <v>58</v>
      </c>
      <c r="E217" s="33"/>
      <c r="F217" s="33"/>
      <c r="G217" s="34"/>
      <c r="H217" s="34"/>
      <c r="I217" s="34"/>
      <c r="J217" s="34"/>
      <c r="K217" s="34"/>
      <c r="L217" s="33"/>
      <c r="M217" s="34"/>
      <c r="N217" s="27"/>
      <c r="O217" s="34"/>
      <c r="P217" s="35">
        <f t="shared" si="29"/>
        <v>0</v>
      </c>
      <c r="Q217" s="34"/>
      <c r="R217" s="35"/>
    </row>
    <row r="218" spans="1:18" x14ac:dyDescent="0.3">
      <c r="A218" s="37">
        <v>43617</v>
      </c>
      <c r="B218" s="36" t="s">
        <v>93</v>
      </c>
      <c r="C218" s="34"/>
      <c r="D218" s="31">
        <v>51</v>
      </c>
      <c r="E218" s="33"/>
      <c r="F218" s="33"/>
      <c r="G218" s="34"/>
      <c r="H218" s="34"/>
      <c r="I218" s="34"/>
      <c r="J218" s="34"/>
      <c r="K218" s="34"/>
      <c r="L218" s="33"/>
      <c r="M218" s="34"/>
      <c r="N218" s="27"/>
      <c r="O218" s="34"/>
      <c r="P218" s="35">
        <f t="shared" si="29"/>
        <v>0</v>
      </c>
      <c r="Q218" s="34"/>
      <c r="R218" s="35"/>
    </row>
    <row r="219" spans="1:18" x14ac:dyDescent="0.3">
      <c r="A219" s="37">
        <v>43632</v>
      </c>
      <c r="B219" s="36" t="s">
        <v>93</v>
      </c>
      <c r="C219" s="34"/>
      <c r="D219" s="31">
        <v>133.5</v>
      </c>
      <c r="E219" s="33"/>
      <c r="F219" s="33"/>
      <c r="G219" s="34"/>
      <c r="H219" s="34"/>
      <c r="I219" s="34"/>
      <c r="J219" s="34"/>
      <c r="K219" s="34"/>
      <c r="L219" s="33"/>
      <c r="M219" s="34"/>
      <c r="N219" s="27"/>
      <c r="O219" s="34"/>
      <c r="P219" s="35">
        <f t="shared" si="29"/>
        <v>0</v>
      </c>
      <c r="Q219" s="34"/>
      <c r="R219" s="35"/>
    </row>
    <row r="220" spans="1:18" x14ac:dyDescent="0.3">
      <c r="A220" s="37">
        <v>43645</v>
      </c>
      <c r="B220" s="36" t="s">
        <v>93</v>
      </c>
      <c r="C220" s="34"/>
      <c r="D220" s="31">
        <v>74</v>
      </c>
      <c r="E220" s="33"/>
      <c r="F220" s="33"/>
      <c r="G220" s="34"/>
      <c r="H220" s="34"/>
      <c r="I220" s="34"/>
      <c r="J220" s="34"/>
      <c r="K220" s="34"/>
      <c r="L220" s="33"/>
      <c r="M220" s="34"/>
      <c r="N220" s="27"/>
      <c r="O220" s="34"/>
      <c r="P220" s="35">
        <f t="shared" si="29"/>
        <v>0</v>
      </c>
      <c r="Q220" s="34"/>
      <c r="R220" s="35"/>
    </row>
    <row r="221" spans="1:18" x14ac:dyDescent="0.3">
      <c r="A221" s="37">
        <v>43659</v>
      </c>
      <c r="B221" s="36" t="s">
        <v>93</v>
      </c>
      <c r="C221" s="34"/>
      <c r="D221" s="31">
        <v>64.5</v>
      </c>
      <c r="E221" s="33"/>
      <c r="F221" s="33"/>
      <c r="G221" s="34"/>
      <c r="H221" s="34"/>
      <c r="I221" s="34"/>
      <c r="J221" s="34"/>
      <c r="K221" s="34"/>
      <c r="L221" s="33"/>
      <c r="M221" s="34"/>
      <c r="N221" s="27"/>
      <c r="O221" s="34"/>
      <c r="P221" s="35">
        <f t="shared" si="29"/>
        <v>0</v>
      </c>
      <c r="Q221" s="34"/>
      <c r="R221" s="35"/>
    </row>
    <row r="222" spans="1:18" x14ac:dyDescent="0.3">
      <c r="A222" s="37">
        <v>43674</v>
      </c>
      <c r="B222" s="36" t="s">
        <v>93</v>
      </c>
      <c r="C222" s="34"/>
      <c r="D222" s="31">
        <v>107</v>
      </c>
      <c r="E222" s="33"/>
      <c r="F222" s="33"/>
      <c r="G222" s="34"/>
      <c r="H222" s="34"/>
      <c r="I222" s="34"/>
      <c r="J222" s="34"/>
      <c r="K222" s="34"/>
      <c r="L222" s="33"/>
      <c r="M222" s="34"/>
      <c r="N222" s="27"/>
      <c r="O222" s="34"/>
      <c r="P222" s="35">
        <f t="shared" si="29"/>
        <v>0</v>
      </c>
      <c r="Q222" s="34"/>
      <c r="R222" s="35"/>
    </row>
    <row r="223" spans="1:18" x14ac:dyDescent="0.3">
      <c r="A223" s="37">
        <v>43688</v>
      </c>
      <c r="B223" s="36" t="s">
        <v>93</v>
      </c>
      <c r="C223" s="34"/>
      <c r="D223" s="31">
        <v>101.5</v>
      </c>
      <c r="E223" s="33"/>
      <c r="F223" s="33"/>
      <c r="G223" s="34"/>
      <c r="H223" s="34"/>
      <c r="I223" s="34"/>
      <c r="J223" s="34"/>
      <c r="K223" s="34"/>
      <c r="L223" s="33"/>
      <c r="M223" s="34"/>
      <c r="N223" s="27"/>
      <c r="O223" s="34"/>
      <c r="P223" s="35">
        <f t="shared" si="29"/>
        <v>0</v>
      </c>
      <c r="Q223" s="34"/>
      <c r="R223" s="35"/>
    </row>
    <row r="224" spans="1:18" x14ac:dyDescent="0.3">
      <c r="A224" s="37">
        <v>43701</v>
      </c>
      <c r="B224" s="36" t="s">
        <v>93</v>
      </c>
      <c r="C224" s="34"/>
      <c r="D224" s="31">
        <v>134</v>
      </c>
      <c r="E224" s="33"/>
      <c r="F224" s="33"/>
      <c r="G224" s="34"/>
      <c r="H224" s="34"/>
      <c r="I224" s="34"/>
      <c r="J224" s="34"/>
      <c r="K224" s="34"/>
      <c r="L224" s="33"/>
      <c r="M224" s="34"/>
      <c r="N224" s="27"/>
      <c r="O224" s="34"/>
      <c r="P224" s="35">
        <f t="shared" si="29"/>
        <v>0</v>
      </c>
      <c r="Q224" s="34"/>
      <c r="R224" s="35"/>
    </row>
    <row r="225" spans="1:18" x14ac:dyDescent="0.3">
      <c r="A225" s="37">
        <v>43715</v>
      </c>
      <c r="B225" s="36" t="s">
        <v>93</v>
      </c>
      <c r="C225" s="34"/>
      <c r="D225" s="31">
        <v>93.5</v>
      </c>
      <c r="E225" s="33"/>
      <c r="F225" s="33"/>
      <c r="G225" s="34"/>
      <c r="H225" s="34"/>
      <c r="I225" s="34"/>
      <c r="J225" s="34"/>
      <c r="K225" s="34"/>
      <c r="L225" s="33"/>
      <c r="M225" s="34"/>
      <c r="N225" s="27"/>
      <c r="O225" s="34"/>
      <c r="P225" s="35">
        <f t="shared" si="29"/>
        <v>0</v>
      </c>
      <c r="Q225" s="34"/>
      <c r="R225" s="35"/>
    </row>
    <row r="226" spans="1:18" x14ac:dyDescent="0.3">
      <c r="A226" s="37">
        <v>43729</v>
      </c>
      <c r="B226" s="36" t="s">
        <v>93</v>
      </c>
      <c r="C226" s="34"/>
      <c r="D226" s="31">
        <v>118</v>
      </c>
      <c r="E226" s="33"/>
      <c r="F226" s="33"/>
      <c r="G226" s="34"/>
      <c r="H226" s="34"/>
      <c r="I226" s="34"/>
      <c r="J226" s="34"/>
      <c r="K226" s="34"/>
      <c r="L226" s="33"/>
      <c r="M226" s="34"/>
      <c r="N226" s="27"/>
      <c r="O226" s="34"/>
      <c r="P226" s="35">
        <f t="shared" si="29"/>
        <v>0</v>
      </c>
      <c r="Q226" s="34"/>
      <c r="R226" s="35"/>
    </row>
    <row r="227" spans="1:18" x14ac:dyDescent="0.3">
      <c r="A227" s="37">
        <v>43756</v>
      </c>
      <c r="B227" s="36" t="s">
        <v>93</v>
      </c>
      <c r="C227" s="34"/>
      <c r="D227" s="31">
        <v>95</v>
      </c>
      <c r="E227" s="33"/>
      <c r="F227" s="33"/>
      <c r="G227" s="34"/>
      <c r="H227" s="34"/>
      <c r="I227" s="34"/>
      <c r="J227" s="34"/>
      <c r="K227" s="34"/>
      <c r="L227" s="33"/>
      <c r="M227" s="34"/>
      <c r="N227" s="27"/>
      <c r="O227" s="34"/>
      <c r="P227" s="35">
        <f t="shared" si="29"/>
        <v>0</v>
      </c>
      <c r="Q227" s="34"/>
      <c r="R227" s="35"/>
    </row>
    <row r="228" spans="1:18" x14ac:dyDescent="0.3">
      <c r="A228" s="37">
        <v>43771</v>
      </c>
      <c r="B228" s="36" t="s">
        <v>93</v>
      </c>
      <c r="C228" s="34"/>
      <c r="D228" s="31">
        <v>120</v>
      </c>
      <c r="E228" s="33"/>
      <c r="F228" s="33"/>
      <c r="G228" s="34"/>
      <c r="H228" s="34"/>
      <c r="I228" s="34"/>
      <c r="J228" s="34"/>
      <c r="K228" s="34"/>
      <c r="L228" s="33"/>
      <c r="M228" s="34"/>
      <c r="N228" s="27"/>
      <c r="O228" s="34"/>
      <c r="P228" s="35">
        <f t="shared" si="29"/>
        <v>0</v>
      </c>
      <c r="Q228" s="34"/>
      <c r="R228" s="35"/>
    </row>
    <row r="229" spans="1:18" x14ac:dyDescent="0.3">
      <c r="A229" s="32">
        <v>43441</v>
      </c>
      <c r="B229" s="33" t="s">
        <v>95</v>
      </c>
      <c r="C229" s="34">
        <v>720</v>
      </c>
      <c r="D229" s="36">
        <v>40</v>
      </c>
      <c r="E229" s="33">
        <v>82.65</v>
      </c>
      <c r="F229" s="33">
        <v>720</v>
      </c>
      <c r="G229" s="34">
        <v>82.65</v>
      </c>
      <c r="H229" s="34">
        <v>0</v>
      </c>
      <c r="I229" s="34">
        <v>802.65</v>
      </c>
      <c r="J229" s="34">
        <v>161.02000000000001</v>
      </c>
      <c r="K229" s="34">
        <v>963.67</v>
      </c>
      <c r="L229" s="33">
        <v>100108</v>
      </c>
      <c r="M229" s="34">
        <f t="shared" ref="M229:M260" si="30">(E229+F229)/N229</f>
        <v>20.06625</v>
      </c>
      <c r="N229" s="27">
        <v>40</v>
      </c>
      <c r="O229" s="34">
        <v>0</v>
      </c>
      <c r="P229" s="35">
        <f t="shared" si="29"/>
        <v>0</v>
      </c>
      <c r="Q229" s="34">
        <f t="shared" ref="Q229:Q260" si="31">O229*1.5</f>
        <v>0</v>
      </c>
      <c r="R229" s="35">
        <v>409.55</v>
      </c>
    </row>
    <row r="230" spans="1:18" x14ac:dyDescent="0.3">
      <c r="A230" s="32">
        <v>43455</v>
      </c>
      <c r="B230" s="33" t="s">
        <v>95</v>
      </c>
      <c r="C230" s="34">
        <v>1328</v>
      </c>
      <c r="D230" s="33">
        <v>80</v>
      </c>
      <c r="E230" s="33">
        <v>293.92</v>
      </c>
      <c r="F230" s="33">
        <v>1760</v>
      </c>
      <c r="G230" s="34">
        <v>325.92</v>
      </c>
      <c r="H230" s="34">
        <v>400</v>
      </c>
      <c r="I230" s="34">
        <v>2053.92</v>
      </c>
      <c r="J230" s="34">
        <v>367.16</v>
      </c>
      <c r="K230" s="34">
        <v>2421.08</v>
      </c>
      <c r="L230" s="33">
        <v>100116</v>
      </c>
      <c r="M230" s="34">
        <f t="shared" si="30"/>
        <v>21.395</v>
      </c>
      <c r="N230" s="27">
        <v>96</v>
      </c>
      <c r="O230" s="34">
        <f>((N230-80)*M230)*0.5</f>
        <v>171.16</v>
      </c>
      <c r="P230" s="35">
        <f t="shared" si="29"/>
        <v>34.229999999999997</v>
      </c>
      <c r="Q230" s="34">
        <f t="shared" si="31"/>
        <v>256.74</v>
      </c>
      <c r="R230" s="35"/>
    </row>
    <row r="231" spans="1:18" x14ac:dyDescent="0.3">
      <c r="A231" s="32">
        <v>43469</v>
      </c>
      <c r="B231" s="33" t="s">
        <v>95</v>
      </c>
      <c r="C231" s="34">
        <v>1153</v>
      </c>
      <c r="D231" s="36">
        <v>51.5</v>
      </c>
      <c r="E231" s="33">
        <v>337.3</v>
      </c>
      <c r="F231" s="33">
        <v>1440</v>
      </c>
      <c r="G231" s="34">
        <v>274.3</v>
      </c>
      <c r="H231" s="34">
        <v>350</v>
      </c>
      <c r="I231" s="34">
        <v>1777.3</v>
      </c>
      <c r="J231" s="34">
        <v>339.33</v>
      </c>
      <c r="K231" s="34">
        <v>2116.63</v>
      </c>
      <c r="L231" s="33">
        <v>100122</v>
      </c>
      <c r="M231" s="34">
        <f t="shared" si="30"/>
        <v>21.28502994011976</v>
      </c>
      <c r="N231" s="27">
        <v>83.5</v>
      </c>
      <c r="O231" s="38">
        <f>(M231*0.5)*11.5</f>
        <v>122.38892215568862</v>
      </c>
      <c r="P231" s="35">
        <f t="shared" si="29"/>
        <v>24.48</v>
      </c>
      <c r="Q231" s="34">
        <f t="shared" si="31"/>
        <v>183.58338323353291</v>
      </c>
      <c r="R231" s="35"/>
    </row>
    <row r="232" spans="1:18" x14ac:dyDescent="0.3">
      <c r="A232" s="37" t="s">
        <v>77</v>
      </c>
      <c r="B232" s="33" t="s">
        <v>95</v>
      </c>
      <c r="C232" s="34">
        <v>1136</v>
      </c>
      <c r="D232" s="33">
        <v>80</v>
      </c>
      <c r="E232" s="33">
        <v>306.52999999999997</v>
      </c>
      <c r="F232" s="33">
        <v>1440</v>
      </c>
      <c r="G232" s="34">
        <v>180.53</v>
      </c>
      <c r="H232" s="34">
        <v>430</v>
      </c>
      <c r="I232" s="34">
        <v>1746.53</v>
      </c>
      <c r="J232" s="34">
        <v>336.26</v>
      </c>
      <c r="K232" s="34">
        <v>2082.79</v>
      </c>
      <c r="L232" s="33">
        <v>100131</v>
      </c>
      <c r="M232" s="34" t="e">
        <f t="shared" si="30"/>
        <v>#DIV/0!</v>
      </c>
      <c r="N232" s="27"/>
      <c r="O232" s="34" t="e">
        <f t="shared" ref="O232:O244" si="32">((N232-80)*M232)*0.5</f>
        <v>#DIV/0!</v>
      </c>
      <c r="P232" s="35" t="e">
        <f t="shared" si="29"/>
        <v>#VALUE!</v>
      </c>
      <c r="Q232" s="34" t="e">
        <f t="shared" si="31"/>
        <v>#DIV/0!</v>
      </c>
      <c r="R232" s="35"/>
    </row>
    <row r="233" spans="1:18" x14ac:dyDescent="0.3">
      <c r="A233" s="32">
        <v>43497</v>
      </c>
      <c r="B233" s="33" t="s">
        <v>95</v>
      </c>
      <c r="C233" s="34">
        <v>1759</v>
      </c>
      <c r="D233" s="33">
        <v>80</v>
      </c>
      <c r="E233" s="33">
        <v>1349.49</v>
      </c>
      <c r="F233" s="33">
        <v>1440</v>
      </c>
      <c r="G233" s="34">
        <v>507.49</v>
      </c>
      <c r="H233" s="34">
        <v>523</v>
      </c>
      <c r="I233" s="34">
        <v>2789.49</v>
      </c>
      <c r="J233" s="34">
        <v>441.16</v>
      </c>
      <c r="K233" s="34">
        <v>3230.65</v>
      </c>
      <c r="L233" s="33">
        <v>100140</v>
      </c>
      <c r="M233" s="34">
        <f t="shared" si="30"/>
        <v>25.13054054054054</v>
      </c>
      <c r="N233" s="27">
        <v>111</v>
      </c>
      <c r="O233" s="34">
        <f t="shared" si="32"/>
        <v>389.52337837837837</v>
      </c>
      <c r="P233" s="35">
        <f t="shared" si="29"/>
        <v>74.010000000000005</v>
      </c>
      <c r="Q233" s="34">
        <f t="shared" si="31"/>
        <v>584.28506756756758</v>
      </c>
      <c r="R233" s="35"/>
    </row>
    <row r="234" spans="1:18" x14ac:dyDescent="0.3">
      <c r="A234" s="32">
        <v>43511</v>
      </c>
      <c r="B234" s="33" t="s">
        <v>95</v>
      </c>
      <c r="C234" s="34">
        <v>1900</v>
      </c>
      <c r="D234" s="33">
        <v>80</v>
      </c>
      <c r="E234" s="33">
        <v>209.19</v>
      </c>
      <c r="F234" s="33">
        <v>1900</v>
      </c>
      <c r="G234" s="34">
        <v>209.19</v>
      </c>
      <c r="H234" s="34">
        <v>0</v>
      </c>
      <c r="I234" s="34">
        <v>2109.19</v>
      </c>
      <c r="J234" s="34">
        <v>364.19</v>
      </c>
      <c r="K234" s="34">
        <v>2473.38</v>
      </c>
      <c r="L234" s="33" t="s">
        <v>14</v>
      </c>
      <c r="M234" s="34">
        <f t="shared" si="30"/>
        <v>21.091899999999999</v>
      </c>
      <c r="N234" s="27">
        <v>100</v>
      </c>
      <c r="O234" s="34">
        <f t="shared" si="32"/>
        <v>210.91899999999998</v>
      </c>
      <c r="P234" s="35">
        <f t="shared" si="29"/>
        <v>37.97</v>
      </c>
      <c r="Q234" s="34">
        <f t="shared" si="31"/>
        <v>316.37849999999997</v>
      </c>
      <c r="R234" s="35"/>
    </row>
    <row r="235" spans="1:18" x14ac:dyDescent="0.3">
      <c r="A235" s="32">
        <v>43525</v>
      </c>
      <c r="B235" s="33" t="s">
        <v>95</v>
      </c>
      <c r="C235" s="34">
        <v>1320</v>
      </c>
      <c r="D235" s="33">
        <v>80</v>
      </c>
      <c r="E235" s="33">
        <v>607.28</v>
      </c>
      <c r="F235" s="33">
        <v>1440</v>
      </c>
      <c r="G235" s="34">
        <v>204.28</v>
      </c>
      <c r="H235" s="34">
        <v>523</v>
      </c>
      <c r="I235" s="34">
        <v>2047.28</v>
      </c>
      <c r="J235" s="34">
        <v>354.21</v>
      </c>
      <c r="K235" s="34">
        <v>2401.4899999999998</v>
      </c>
      <c r="L235" s="33">
        <v>100159</v>
      </c>
      <c r="M235" s="34">
        <f t="shared" si="30"/>
        <v>22.747555555555554</v>
      </c>
      <c r="N235" s="27">
        <v>90</v>
      </c>
      <c r="O235" s="34">
        <f t="shared" si="32"/>
        <v>113.73777777777777</v>
      </c>
      <c r="P235" s="35">
        <f t="shared" si="29"/>
        <v>20.47</v>
      </c>
      <c r="Q235" s="34">
        <f t="shared" si="31"/>
        <v>170.60666666666665</v>
      </c>
      <c r="R235" s="35"/>
    </row>
    <row r="236" spans="1:18" x14ac:dyDescent="0.3">
      <c r="A236" s="32">
        <v>43539</v>
      </c>
      <c r="B236" s="33" t="s">
        <v>95</v>
      </c>
      <c r="C236" s="34">
        <v>1776</v>
      </c>
      <c r="D236" s="33">
        <v>80</v>
      </c>
      <c r="E236" s="33">
        <v>678.13</v>
      </c>
      <c r="F236" s="33">
        <v>1440</v>
      </c>
      <c r="G236" s="34">
        <v>342.13</v>
      </c>
      <c r="H236" s="34">
        <v>0</v>
      </c>
      <c r="I236" s="34">
        <v>2118.13</v>
      </c>
      <c r="J236" s="34">
        <v>360.9</v>
      </c>
      <c r="K236" s="34">
        <v>2479.0300000000002</v>
      </c>
      <c r="L236" s="33" t="s">
        <v>14</v>
      </c>
      <c r="M236" s="34">
        <f t="shared" si="30"/>
        <v>22.653796791443852</v>
      </c>
      <c r="N236" s="27">
        <v>93.5</v>
      </c>
      <c r="O236" s="34">
        <f t="shared" si="32"/>
        <v>152.91312834224601</v>
      </c>
      <c r="P236" s="35">
        <f t="shared" si="29"/>
        <v>26</v>
      </c>
      <c r="Q236" s="34">
        <f t="shared" si="31"/>
        <v>229.36969251336902</v>
      </c>
      <c r="R236" s="35"/>
    </row>
    <row r="237" spans="1:18" x14ac:dyDescent="0.3">
      <c r="A237" s="32">
        <v>43553</v>
      </c>
      <c r="B237" s="33" t="s">
        <v>95</v>
      </c>
      <c r="C237" s="34">
        <v>1379</v>
      </c>
      <c r="D237" s="33">
        <v>80</v>
      </c>
      <c r="E237" s="33">
        <v>619.49</v>
      </c>
      <c r="F237" s="33">
        <v>1440</v>
      </c>
      <c r="G237" s="34">
        <v>330.49</v>
      </c>
      <c r="H237" s="34">
        <v>350</v>
      </c>
      <c r="I237" s="34">
        <v>2059.4899999999998</v>
      </c>
      <c r="J237" s="34">
        <v>355.38</v>
      </c>
      <c r="K237" s="34">
        <v>2414.87</v>
      </c>
      <c r="L237" s="33" t="s">
        <v>14</v>
      </c>
      <c r="M237" s="34">
        <f t="shared" si="30"/>
        <v>22.631758241758238</v>
      </c>
      <c r="N237" s="27">
        <v>91</v>
      </c>
      <c r="O237" s="34">
        <f t="shared" si="32"/>
        <v>124.4746703296703</v>
      </c>
      <c r="P237" s="35">
        <f t="shared" si="29"/>
        <v>21.16</v>
      </c>
      <c r="Q237" s="34">
        <f t="shared" si="31"/>
        <v>186.71200549450546</v>
      </c>
      <c r="R237" s="35"/>
    </row>
    <row r="238" spans="1:18" x14ac:dyDescent="0.3">
      <c r="A238" s="32">
        <v>43567</v>
      </c>
      <c r="B238" s="33" t="s">
        <v>95</v>
      </c>
      <c r="C238" s="34">
        <v>1632</v>
      </c>
      <c r="D238" s="33">
        <v>80</v>
      </c>
      <c r="E238" s="33">
        <v>548.32000000000005</v>
      </c>
      <c r="F238" s="33">
        <v>1440</v>
      </c>
      <c r="G238" s="34">
        <v>316.32</v>
      </c>
      <c r="H238" s="34">
        <v>40</v>
      </c>
      <c r="I238" s="34">
        <v>1988.32</v>
      </c>
      <c r="J238" s="34">
        <v>348.64</v>
      </c>
      <c r="K238" s="34">
        <v>2336.96</v>
      </c>
      <c r="L238" s="33" t="s">
        <v>14</v>
      </c>
      <c r="M238" s="34">
        <f t="shared" si="30"/>
        <v>22.594545454545457</v>
      </c>
      <c r="N238" s="27">
        <v>88</v>
      </c>
      <c r="O238" s="34">
        <f t="shared" si="32"/>
        <v>90.378181818181829</v>
      </c>
      <c r="P238" s="35">
        <f t="shared" si="29"/>
        <v>14.46</v>
      </c>
      <c r="Q238" s="34">
        <f t="shared" si="31"/>
        <v>135.56727272727275</v>
      </c>
      <c r="R238" s="35"/>
    </row>
    <row r="239" spans="1:18" x14ac:dyDescent="0.3">
      <c r="A239" s="32">
        <v>43581</v>
      </c>
      <c r="B239" s="33" t="s">
        <v>95</v>
      </c>
      <c r="C239" s="34">
        <v>1222</v>
      </c>
      <c r="D239" s="33">
        <v>80</v>
      </c>
      <c r="E239" s="33">
        <v>548.29</v>
      </c>
      <c r="F239" s="33">
        <v>1440</v>
      </c>
      <c r="G239" s="34">
        <v>316.29000000000002</v>
      </c>
      <c r="H239" s="34">
        <v>450</v>
      </c>
      <c r="I239" s="34">
        <v>1988.29</v>
      </c>
      <c r="J239" s="34">
        <v>345.25</v>
      </c>
      <c r="K239" s="34">
        <v>2333.54</v>
      </c>
      <c r="L239" s="33" t="s">
        <v>14</v>
      </c>
      <c r="M239" s="34">
        <f t="shared" si="30"/>
        <v>22.594204545454545</v>
      </c>
      <c r="N239" s="27">
        <v>88</v>
      </c>
      <c r="O239" s="34">
        <f t="shared" si="32"/>
        <v>90.37681818181818</v>
      </c>
      <c r="P239" s="35">
        <f t="shared" si="29"/>
        <v>14.46</v>
      </c>
      <c r="Q239" s="34">
        <f t="shared" si="31"/>
        <v>135.56522727272727</v>
      </c>
      <c r="R239" s="35"/>
    </row>
    <row r="240" spans="1:18" x14ac:dyDescent="0.3">
      <c r="A240" s="32">
        <v>43595</v>
      </c>
      <c r="B240" s="33" t="s">
        <v>95</v>
      </c>
      <c r="C240" s="34">
        <v>1840</v>
      </c>
      <c r="D240" s="33">
        <v>80</v>
      </c>
      <c r="E240" s="33">
        <v>758.04</v>
      </c>
      <c r="F240" s="33">
        <v>1440</v>
      </c>
      <c r="G240" s="34">
        <v>358.04</v>
      </c>
      <c r="H240" s="34">
        <v>0</v>
      </c>
      <c r="I240" s="34">
        <v>2198.04</v>
      </c>
      <c r="J240" s="34">
        <v>364.74</v>
      </c>
      <c r="K240" s="34">
        <v>2562.7800000000002</v>
      </c>
      <c r="L240" s="33" t="s">
        <v>14</v>
      </c>
      <c r="M240" s="34">
        <f t="shared" si="30"/>
        <v>23.891739130434782</v>
      </c>
      <c r="N240" s="27">
        <v>92</v>
      </c>
      <c r="O240" s="34">
        <f t="shared" si="32"/>
        <v>143.35043478260869</v>
      </c>
      <c r="P240" s="35">
        <f t="shared" si="29"/>
        <v>22.94</v>
      </c>
      <c r="Q240" s="34">
        <f t="shared" si="31"/>
        <v>215.02565217391304</v>
      </c>
      <c r="R240" s="35"/>
    </row>
    <row r="241" spans="1:18" x14ac:dyDescent="0.3">
      <c r="A241" s="32">
        <v>43609</v>
      </c>
      <c r="B241" s="33" t="s">
        <v>95</v>
      </c>
      <c r="C241" s="34">
        <v>1698</v>
      </c>
      <c r="D241" s="33">
        <v>80</v>
      </c>
      <c r="E241" s="33">
        <v>1175.46</v>
      </c>
      <c r="F241" s="33">
        <v>1440</v>
      </c>
      <c r="G241" s="34">
        <v>455.46</v>
      </c>
      <c r="H241" s="34">
        <v>462</v>
      </c>
      <c r="I241" s="34">
        <v>2615.46</v>
      </c>
      <c r="J241" s="34">
        <v>403.51</v>
      </c>
      <c r="K241" s="34">
        <v>3018.97</v>
      </c>
      <c r="L241" s="33" t="s">
        <v>14</v>
      </c>
      <c r="M241" s="34">
        <f t="shared" si="30"/>
        <v>24.217222222222222</v>
      </c>
      <c r="N241" s="27">
        <v>108</v>
      </c>
      <c r="O241" s="34">
        <f t="shared" si="32"/>
        <v>339.04111111111109</v>
      </c>
      <c r="P241" s="35">
        <f t="shared" ref="P241:P272" si="33">ROUND(((ROUNDDOWN(($T$1-A241)/30,0))/100)*O241,2)</f>
        <v>50.86</v>
      </c>
      <c r="Q241" s="34">
        <f t="shared" si="31"/>
        <v>508.56166666666661</v>
      </c>
      <c r="R241" s="35"/>
    </row>
    <row r="242" spans="1:18" x14ac:dyDescent="0.3">
      <c r="A242" s="32">
        <v>43623</v>
      </c>
      <c r="B242" s="33" t="s">
        <v>95</v>
      </c>
      <c r="C242" s="34">
        <v>1790</v>
      </c>
      <c r="D242" s="33">
        <v>80</v>
      </c>
      <c r="E242" s="33">
        <v>695.61</v>
      </c>
      <c r="F242" s="33">
        <v>1440</v>
      </c>
      <c r="G242" s="34">
        <v>345.61</v>
      </c>
      <c r="H242" s="34">
        <v>0</v>
      </c>
      <c r="I242" s="34">
        <v>2135.61</v>
      </c>
      <c r="J242" s="34">
        <v>358.94</v>
      </c>
      <c r="K242" s="34">
        <v>2494.5500000000002</v>
      </c>
      <c r="L242" s="33" t="s">
        <v>14</v>
      </c>
      <c r="M242" s="34">
        <f t="shared" si="30"/>
        <v>23.861564245810058</v>
      </c>
      <c r="N242" s="27">
        <v>89.5</v>
      </c>
      <c r="O242" s="34">
        <f t="shared" si="32"/>
        <v>113.34243016759777</v>
      </c>
      <c r="P242" s="35">
        <f t="shared" si="33"/>
        <v>17</v>
      </c>
      <c r="Q242" s="34">
        <f t="shared" si="31"/>
        <v>170.01364525139667</v>
      </c>
      <c r="R242" s="35"/>
    </row>
    <row r="243" spans="1:18" x14ac:dyDescent="0.3">
      <c r="A243" s="32">
        <v>43637</v>
      </c>
      <c r="B243" s="33" t="s">
        <v>95</v>
      </c>
      <c r="C243" s="34">
        <v>1790</v>
      </c>
      <c r="D243" s="33">
        <v>80</v>
      </c>
      <c r="E243" s="33">
        <v>1116.94</v>
      </c>
      <c r="F243" s="33">
        <v>1440</v>
      </c>
      <c r="G243" s="34">
        <v>326.94</v>
      </c>
      <c r="H243" s="34">
        <v>440</v>
      </c>
      <c r="I243" s="34">
        <v>2556.94</v>
      </c>
      <c r="J243" s="34">
        <v>398.08</v>
      </c>
      <c r="K243" s="34">
        <v>2955.02</v>
      </c>
      <c r="L243" s="33" t="s">
        <v>14</v>
      </c>
      <c r="M243" s="34">
        <f t="shared" si="30"/>
        <v>22.932197309417042</v>
      </c>
      <c r="N243" s="27">
        <v>111.5</v>
      </c>
      <c r="O243" s="34">
        <f t="shared" si="32"/>
        <v>361.18210762331842</v>
      </c>
      <c r="P243" s="35">
        <f t="shared" si="33"/>
        <v>50.57</v>
      </c>
      <c r="Q243" s="34">
        <f t="shared" si="31"/>
        <v>541.77316143497762</v>
      </c>
      <c r="R243" s="35"/>
    </row>
    <row r="244" spans="1:18" x14ac:dyDescent="0.3">
      <c r="A244" s="32">
        <v>43651</v>
      </c>
      <c r="B244" s="33" t="s">
        <v>95</v>
      </c>
      <c r="C244" s="34">
        <v>1740</v>
      </c>
      <c r="D244" s="33">
        <v>80</v>
      </c>
      <c r="E244" s="33">
        <v>495.45</v>
      </c>
      <c r="F244" s="33">
        <v>1440</v>
      </c>
      <c r="G244" s="34">
        <v>195.45</v>
      </c>
      <c r="H244" s="34">
        <v>0</v>
      </c>
      <c r="I244" s="34">
        <v>1935.45</v>
      </c>
      <c r="J244" s="34">
        <v>340.34</v>
      </c>
      <c r="K244" s="34">
        <v>2275.79</v>
      </c>
      <c r="L244" s="33" t="s">
        <v>14</v>
      </c>
      <c r="M244" s="34">
        <f t="shared" si="30"/>
        <v>22.24655172413793</v>
      </c>
      <c r="N244" s="27">
        <v>87</v>
      </c>
      <c r="O244" s="34">
        <f t="shared" si="32"/>
        <v>77.862931034482756</v>
      </c>
      <c r="P244" s="35">
        <f t="shared" si="33"/>
        <v>10.9</v>
      </c>
      <c r="Q244" s="34">
        <f t="shared" si="31"/>
        <v>116.79439655172413</v>
      </c>
      <c r="R244" s="35"/>
    </row>
    <row r="245" spans="1:18" x14ac:dyDescent="0.3">
      <c r="A245" s="32">
        <v>43665</v>
      </c>
      <c r="B245" s="33" t="s">
        <v>95</v>
      </c>
      <c r="C245" s="34">
        <v>1620</v>
      </c>
      <c r="D245" s="36">
        <v>49</v>
      </c>
      <c r="E245" s="33">
        <v>192.35</v>
      </c>
      <c r="F245" s="33">
        <v>1620</v>
      </c>
      <c r="G245" s="34">
        <v>192.35</v>
      </c>
      <c r="H245" s="34">
        <v>0</v>
      </c>
      <c r="I245" s="34">
        <v>1812.35</v>
      </c>
      <c r="J245" s="34">
        <v>328.91</v>
      </c>
      <c r="K245" s="34">
        <v>2141.2600000000002</v>
      </c>
      <c r="L245" s="33" t="s">
        <v>14</v>
      </c>
      <c r="M245" s="34">
        <f t="shared" si="30"/>
        <v>22.374691358024691</v>
      </c>
      <c r="N245" s="27">
        <v>81</v>
      </c>
      <c r="O245" s="38">
        <f>(M245*0.5)*9</f>
        <v>100.6861111111111</v>
      </c>
      <c r="P245" s="35">
        <f t="shared" si="33"/>
        <v>13.09</v>
      </c>
      <c r="Q245" s="34">
        <f t="shared" si="31"/>
        <v>151.02916666666664</v>
      </c>
      <c r="R245" s="35"/>
    </row>
    <row r="246" spans="1:18" x14ac:dyDescent="0.3">
      <c r="A246" s="32">
        <v>43679</v>
      </c>
      <c r="B246" s="33" t="s">
        <v>95</v>
      </c>
      <c r="C246" s="34">
        <v>1460</v>
      </c>
      <c r="D246" s="33">
        <v>80</v>
      </c>
      <c r="E246" s="33">
        <v>253.37</v>
      </c>
      <c r="F246" s="33">
        <v>1900</v>
      </c>
      <c r="G246" s="34">
        <v>253.39</v>
      </c>
      <c r="H246" s="34">
        <v>439.98</v>
      </c>
      <c r="I246" s="34">
        <v>2153.37</v>
      </c>
      <c r="J246" s="34">
        <v>360.59</v>
      </c>
      <c r="K246" s="34">
        <v>2513.96</v>
      </c>
      <c r="L246" s="33" t="s">
        <v>14</v>
      </c>
      <c r="M246" s="34">
        <f t="shared" si="30"/>
        <v>22.667052631578947</v>
      </c>
      <c r="N246" s="27">
        <v>95</v>
      </c>
      <c r="O246" s="34">
        <f t="shared" ref="O246:O253" si="34">((N246-80)*M246)*0.5</f>
        <v>170.00289473684211</v>
      </c>
      <c r="P246" s="35">
        <f t="shared" si="33"/>
        <v>22.1</v>
      </c>
      <c r="Q246" s="34">
        <f t="shared" si="31"/>
        <v>255.00434210526316</v>
      </c>
      <c r="R246" s="35"/>
    </row>
    <row r="247" spans="1:18" x14ac:dyDescent="0.3">
      <c r="A247" s="32">
        <v>43693</v>
      </c>
      <c r="B247" s="33" t="s">
        <v>95</v>
      </c>
      <c r="C247" s="34">
        <v>2020</v>
      </c>
      <c r="D247" s="33">
        <v>80</v>
      </c>
      <c r="E247" s="33">
        <v>279.57</v>
      </c>
      <c r="F247" s="33">
        <v>2020</v>
      </c>
      <c r="G247" s="34">
        <v>279.57</v>
      </c>
      <c r="H247" s="34">
        <v>0</v>
      </c>
      <c r="I247" s="34">
        <v>2299.5700000000002</v>
      </c>
      <c r="J247" s="34">
        <v>374.17</v>
      </c>
      <c r="K247" s="34">
        <v>2673.74</v>
      </c>
      <c r="L247" s="33" t="s">
        <v>14</v>
      </c>
      <c r="M247" s="34">
        <f t="shared" si="30"/>
        <v>22.768019801980198</v>
      </c>
      <c r="N247" s="27">
        <v>101</v>
      </c>
      <c r="O247" s="34">
        <f t="shared" si="34"/>
        <v>239.06420792079209</v>
      </c>
      <c r="P247" s="35">
        <f t="shared" si="33"/>
        <v>28.69</v>
      </c>
      <c r="Q247" s="34">
        <f t="shared" si="31"/>
        <v>358.59631188118811</v>
      </c>
      <c r="R247" s="35"/>
    </row>
    <row r="248" spans="1:18" x14ac:dyDescent="0.3">
      <c r="A248" s="32">
        <v>43707</v>
      </c>
      <c r="B248" s="33" t="s">
        <v>95</v>
      </c>
      <c r="C248" s="34">
        <v>1510</v>
      </c>
      <c r="D248" s="33">
        <v>80</v>
      </c>
      <c r="E248" s="33">
        <v>264.29000000000002</v>
      </c>
      <c r="F248" s="33">
        <v>1950</v>
      </c>
      <c r="G248" s="34">
        <v>264.29000000000002</v>
      </c>
      <c r="H248" s="34">
        <v>440</v>
      </c>
      <c r="I248" s="34">
        <v>2214.29</v>
      </c>
      <c r="J248" s="34">
        <v>366.24</v>
      </c>
      <c r="K248" s="34">
        <v>2580.5300000000002</v>
      </c>
      <c r="L248" s="33" t="s">
        <v>14</v>
      </c>
      <c r="M248" s="34">
        <f t="shared" si="30"/>
        <v>22.710666666666665</v>
      </c>
      <c r="N248" s="27">
        <v>97.5</v>
      </c>
      <c r="O248" s="34">
        <f t="shared" si="34"/>
        <v>198.71833333333331</v>
      </c>
      <c r="P248" s="35">
        <f t="shared" si="33"/>
        <v>23.85</v>
      </c>
      <c r="Q248" s="34">
        <f t="shared" si="31"/>
        <v>298.07749999999999</v>
      </c>
      <c r="R248" s="35"/>
    </row>
    <row r="249" spans="1:18" x14ac:dyDescent="0.3">
      <c r="A249" s="32">
        <v>43721</v>
      </c>
      <c r="B249" s="33" t="s">
        <v>95</v>
      </c>
      <c r="C249" s="34">
        <v>1690</v>
      </c>
      <c r="D249" s="33">
        <v>80</v>
      </c>
      <c r="E249" s="33">
        <v>207.61</v>
      </c>
      <c r="F249" s="33">
        <v>1690</v>
      </c>
      <c r="G249" s="34">
        <v>207.61</v>
      </c>
      <c r="H249" s="34">
        <v>0</v>
      </c>
      <c r="I249" s="34">
        <v>1897.61</v>
      </c>
      <c r="J249" s="34">
        <v>336.83</v>
      </c>
      <c r="K249" s="34">
        <v>2234.44</v>
      </c>
      <c r="L249" s="33" t="s">
        <v>14</v>
      </c>
      <c r="M249" s="34">
        <f t="shared" si="30"/>
        <v>20.080529100529102</v>
      </c>
      <c r="N249" s="27">
        <v>94.5</v>
      </c>
      <c r="O249" s="34">
        <f t="shared" si="34"/>
        <v>145.58383597883599</v>
      </c>
      <c r="P249" s="35">
        <f t="shared" si="33"/>
        <v>16.010000000000002</v>
      </c>
      <c r="Q249" s="34">
        <f t="shared" si="31"/>
        <v>218.375753968254</v>
      </c>
      <c r="R249" s="35"/>
    </row>
    <row r="250" spans="1:18" x14ac:dyDescent="0.3">
      <c r="A250" s="32">
        <v>43735</v>
      </c>
      <c r="B250" s="33" t="s">
        <v>95</v>
      </c>
      <c r="C250" s="34">
        <v>1849</v>
      </c>
      <c r="D250" s="33">
        <v>80</v>
      </c>
      <c r="E250" s="33">
        <v>341.59</v>
      </c>
      <c r="F250" s="33">
        <v>2289</v>
      </c>
      <c r="G250" s="34">
        <v>341.59</v>
      </c>
      <c r="H250" s="34">
        <v>440</v>
      </c>
      <c r="I250" s="34">
        <v>2630.59</v>
      </c>
      <c r="J250" s="34">
        <v>404.92</v>
      </c>
      <c r="K250" s="34">
        <v>3035.51</v>
      </c>
      <c r="L250" s="33" t="s">
        <v>14</v>
      </c>
      <c r="M250" s="34">
        <f t="shared" si="30"/>
        <v>24.133853211009175</v>
      </c>
      <c r="N250" s="27">
        <v>109</v>
      </c>
      <c r="O250" s="34">
        <f t="shared" si="34"/>
        <v>349.94087155963302</v>
      </c>
      <c r="P250" s="35">
        <f t="shared" si="33"/>
        <v>38.49</v>
      </c>
      <c r="Q250" s="34">
        <f t="shared" si="31"/>
        <v>524.91130733944954</v>
      </c>
      <c r="R250" s="35"/>
    </row>
    <row r="251" spans="1:18" x14ac:dyDescent="0.3">
      <c r="A251" s="32">
        <v>43749</v>
      </c>
      <c r="B251" s="33" t="s">
        <v>95</v>
      </c>
      <c r="C251" s="34">
        <v>2383</v>
      </c>
      <c r="D251" s="33">
        <v>80</v>
      </c>
      <c r="E251" s="33">
        <v>364.96</v>
      </c>
      <c r="F251" s="33">
        <v>2383</v>
      </c>
      <c r="G251" s="34">
        <v>364.96</v>
      </c>
      <c r="H251" s="34">
        <v>0</v>
      </c>
      <c r="I251" s="34">
        <v>2747.96</v>
      </c>
      <c r="J251" s="34">
        <v>415.84</v>
      </c>
      <c r="K251" s="34">
        <v>3163.8</v>
      </c>
      <c r="L251" s="33" t="s">
        <v>14</v>
      </c>
      <c r="M251" s="34">
        <f t="shared" si="30"/>
        <v>24.211101321585904</v>
      </c>
      <c r="N251" s="27">
        <v>113.5</v>
      </c>
      <c r="O251" s="34">
        <f t="shared" si="34"/>
        <v>405.53594713656389</v>
      </c>
      <c r="P251" s="35">
        <f t="shared" si="33"/>
        <v>40.549999999999997</v>
      </c>
      <c r="Q251" s="34">
        <f t="shared" si="31"/>
        <v>608.30392070484584</v>
      </c>
      <c r="R251" s="35"/>
    </row>
    <row r="252" spans="1:18" x14ac:dyDescent="0.3">
      <c r="A252" s="32">
        <v>43763</v>
      </c>
      <c r="B252" s="33" t="s">
        <v>95</v>
      </c>
      <c r="C252" s="34">
        <v>2016</v>
      </c>
      <c r="D252" s="33">
        <v>80</v>
      </c>
      <c r="E252" s="33">
        <v>278.69</v>
      </c>
      <c r="F252" s="33">
        <v>2016</v>
      </c>
      <c r="G252" s="34">
        <v>278.69</v>
      </c>
      <c r="H252" s="34">
        <v>0</v>
      </c>
      <c r="I252" s="34">
        <v>2294.69</v>
      </c>
      <c r="J252" s="34">
        <v>373.71</v>
      </c>
      <c r="K252" s="34">
        <v>2668.4</v>
      </c>
      <c r="L252" s="33" t="s">
        <v>14</v>
      </c>
      <c r="M252" s="34">
        <f t="shared" si="30"/>
        <v>23.903020833333333</v>
      </c>
      <c r="N252" s="27">
        <v>96</v>
      </c>
      <c r="O252" s="34">
        <f t="shared" si="34"/>
        <v>191.22416666666666</v>
      </c>
      <c r="P252" s="35">
        <f t="shared" si="33"/>
        <v>19.12</v>
      </c>
      <c r="Q252" s="34">
        <f t="shared" si="31"/>
        <v>286.83625000000001</v>
      </c>
      <c r="R252" s="35"/>
    </row>
    <row r="253" spans="1:18" x14ac:dyDescent="0.3">
      <c r="A253" s="32">
        <v>43777</v>
      </c>
      <c r="B253" s="33" t="s">
        <v>95</v>
      </c>
      <c r="C253" s="34">
        <v>2373</v>
      </c>
      <c r="D253" s="33">
        <v>80</v>
      </c>
      <c r="E253" s="33">
        <v>362.47</v>
      </c>
      <c r="F253" s="33">
        <v>2373</v>
      </c>
      <c r="G253" s="34">
        <v>362.47</v>
      </c>
      <c r="H253" s="34">
        <v>0</v>
      </c>
      <c r="I253" s="34">
        <v>2735.47</v>
      </c>
      <c r="J253" s="34">
        <v>397.42</v>
      </c>
      <c r="K253" s="34">
        <v>3132.89</v>
      </c>
      <c r="L253" s="33" t="s">
        <v>14</v>
      </c>
      <c r="M253" s="34">
        <f t="shared" si="30"/>
        <v>24.20769911504425</v>
      </c>
      <c r="N253" s="27">
        <v>113</v>
      </c>
      <c r="O253" s="34">
        <f t="shared" si="34"/>
        <v>399.42703539823015</v>
      </c>
      <c r="P253" s="35">
        <f t="shared" si="33"/>
        <v>35.950000000000003</v>
      </c>
      <c r="Q253" s="34">
        <f t="shared" si="31"/>
        <v>599.14055309734522</v>
      </c>
      <c r="R253" s="35"/>
    </row>
    <row r="254" spans="1:18" x14ac:dyDescent="0.3">
      <c r="A254" s="32">
        <v>43791</v>
      </c>
      <c r="B254" s="33" t="s">
        <v>95</v>
      </c>
      <c r="C254" s="34">
        <v>1592</v>
      </c>
      <c r="D254" s="36">
        <v>50.5</v>
      </c>
      <c r="E254" s="33">
        <v>282.17</v>
      </c>
      <c r="F254" s="33">
        <v>2032</v>
      </c>
      <c r="G254" s="34">
        <v>282.17</v>
      </c>
      <c r="H254" s="34">
        <v>440</v>
      </c>
      <c r="I254" s="34">
        <v>2314.17</v>
      </c>
      <c r="J254" s="34">
        <v>337.57</v>
      </c>
      <c r="K254" s="34">
        <v>2651.74</v>
      </c>
      <c r="L254" s="33" t="s">
        <v>14</v>
      </c>
      <c r="M254" s="34">
        <f t="shared" si="30"/>
        <v>26.75341040462428</v>
      </c>
      <c r="N254" s="27">
        <v>86.5</v>
      </c>
      <c r="O254" s="38">
        <f>(M254*10.5)</f>
        <v>280.91080924855493</v>
      </c>
      <c r="P254" s="35">
        <f t="shared" si="33"/>
        <v>25.28</v>
      </c>
      <c r="Q254" s="34">
        <f t="shared" si="31"/>
        <v>421.36621387283242</v>
      </c>
      <c r="R254" s="35"/>
    </row>
    <row r="255" spans="1:18" x14ac:dyDescent="0.3">
      <c r="A255" s="32">
        <v>43805</v>
      </c>
      <c r="B255" s="33" t="s">
        <v>95</v>
      </c>
      <c r="C255" s="34">
        <v>2604</v>
      </c>
      <c r="D255" s="36">
        <v>49.5</v>
      </c>
      <c r="E255" s="33">
        <v>419.87</v>
      </c>
      <c r="F255" s="33">
        <v>2604</v>
      </c>
      <c r="G255" s="34">
        <v>419.87</v>
      </c>
      <c r="H255" s="34">
        <v>0</v>
      </c>
      <c r="I255" s="34">
        <v>3023.87</v>
      </c>
      <c r="J255" s="34">
        <v>391.87</v>
      </c>
      <c r="K255" s="34">
        <v>3415.74</v>
      </c>
      <c r="L255" s="33" t="s">
        <v>14</v>
      </c>
      <c r="M255" s="34">
        <f t="shared" si="30"/>
        <v>39.271038961038961</v>
      </c>
      <c r="N255" s="27">
        <v>77</v>
      </c>
      <c r="O255" s="38">
        <f>(M255*0.5)*9.5</f>
        <v>186.53743506493507</v>
      </c>
      <c r="P255" s="35">
        <f t="shared" si="33"/>
        <v>16.79</v>
      </c>
      <c r="Q255" s="34">
        <f t="shared" si="31"/>
        <v>279.80615259740262</v>
      </c>
      <c r="R255" s="35"/>
    </row>
    <row r="256" spans="1:18" x14ac:dyDescent="0.3">
      <c r="A256" s="32">
        <v>43819</v>
      </c>
      <c r="B256" s="33" t="s">
        <v>95</v>
      </c>
      <c r="C256" s="34">
        <v>2167</v>
      </c>
      <c r="D256" s="33">
        <v>80</v>
      </c>
      <c r="E256" s="33">
        <v>311.62</v>
      </c>
      <c r="F256" s="33">
        <v>2167</v>
      </c>
      <c r="G256" s="34">
        <v>311.62</v>
      </c>
      <c r="H256" s="34">
        <v>0</v>
      </c>
      <c r="I256" s="34">
        <v>2478.62</v>
      </c>
      <c r="J256" s="34">
        <v>350.15</v>
      </c>
      <c r="K256" s="34">
        <v>2828.77</v>
      </c>
      <c r="L256" s="33" t="s">
        <v>14</v>
      </c>
      <c r="M256" s="34">
        <f t="shared" si="30"/>
        <v>24.91075376884422</v>
      </c>
      <c r="N256" s="27">
        <v>99.5</v>
      </c>
      <c r="O256" s="34">
        <f>((N256-80)*M256)*0.5</f>
        <v>242.87984924623115</v>
      </c>
      <c r="P256" s="35">
        <f t="shared" si="33"/>
        <v>19.43</v>
      </c>
      <c r="Q256" s="34">
        <f t="shared" si="31"/>
        <v>364.3197738693467</v>
      </c>
      <c r="R256" s="35"/>
    </row>
    <row r="257" spans="1:18" x14ac:dyDescent="0.3">
      <c r="A257" s="32">
        <v>43833</v>
      </c>
      <c r="B257" s="33" t="s">
        <v>95</v>
      </c>
      <c r="C257" s="34">
        <v>2387</v>
      </c>
      <c r="D257" s="36">
        <v>49.5</v>
      </c>
      <c r="E257" s="33">
        <v>360.43</v>
      </c>
      <c r="F257" s="33">
        <v>2387</v>
      </c>
      <c r="G257" s="34">
        <v>360.43</v>
      </c>
      <c r="H257" s="34">
        <v>0</v>
      </c>
      <c r="I257" s="34">
        <v>2747.43</v>
      </c>
      <c r="J257" s="34">
        <v>432.26</v>
      </c>
      <c r="K257" s="34">
        <v>3179.69</v>
      </c>
      <c r="L257" s="33" t="s">
        <v>14</v>
      </c>
      <c r="M257" s="34">
        <f t="shared" si="30"/>
        <v>31.044406779661013</v>
      </c>
      <c r="N257" s="27">
        <v>88.5</v>
      </c>
      <c r="O257" s="38">
        <f>(M257*0.5)*9.5</f>
        <v>147.4609322033898</v>
      </c>
      <c r="P257" s="35">
        <f t="shared" si="33"/>
        <v>11.8</v>
      </c>
      <c r="Q257" s="34">
        <f t="shared" si="31"/>
        <v>221.1913983050847</v>
      </c>
      <c r="R257" s="35"/>
    </row>
    <row r="258" spans="1:18" x14ac:dyDescent="0.3">
      <c r="A258" s="32">
        <v>43847</v>
      </c>
      <c r="B258" s="33" t="s">
        <v>95</v>
      </c>
      <c r="C258" s="34">
        <v>2121</v>
      </c>
      <c r="D258" s="36">
        <v>51.5</v>
      </c>
      <c r="E258" s="33"/>
      <c r="F258" s="33">
        <v>2121</v>
      </c>
      <c r="G258" s="34">
        <v>244.13</v>
      </c>
      <c r="H258" s="34">
        <v>0</v>
      </c>
      <c r="I258" s="34">
        <v>2365.13</v>
      </c>
      <c r="J258" s="34">
        <v>370.3</v>
      </c>
      <c r="K258" s="34">
        <v>2735.43</v>
      </c>
      <c r="L258" s="33" t="s">
        <v>14</v>
      </c>
      <c r="M258" s="34">
        <f t="shared" si="30"/>
        <v>23.436464088397791</v>
      </c>
      <c r="N258" s="27">
        <v>90.5</v>
      </c>
      <c r="O258" s="38">
        <f>(M258*0.5)*11.5</f>
        <v>134.75966850828729</v>
      </c>
      <c r="P258" s="35">
        <f t="shared" si="33"/>
        <v>9.43</v>
      </c>
      <c r="Q258" s="34">
        <f t="shared" si="31"/>
        <v>202.13950276243094</v>
      </c>
      <c r="R258" s="35"/>
    </row>
    <row r="259" spans="1:18" x14ac:dyDescent="0.3">
      <c r="A259" s="32">
        <v>43861</v>
      </c>
      <c r="B259" s="33" t="s">
        <v>95</v>
      </c>
      <c r="C259" s="34">
        <v>3101</v>
      </c>
      <c r="D259" s="33">
        <v>80</v>
      </c>
      <c r="E259" s="33"/>
      <c r="F259" s="33">
        <v>3101</v>
      </c>
      <c r="G259" s="34">
        <v>430.81</v>
      </c>
      <c r="H259" s="34">
        <v>0</v>
      </c>
      <c r="I259" s="34">
        <v>3531.81</v>
      </c>
      <c r="J259" s="34">
        <v>461.41</v>
      </c>
      <c r="K259" s="34">
        <v>3993.22</v>
      </c>
      <c r="L259" s="33" t="s">
        <v>14</v>
      </c>
      <c r="M259" s="34">
        <f t="shared" si="30"/>
        <v>30.551724137931036</v>
      </c>
      <c r="N259" s="27">
        <v>101.5</v>
      </c>
      <c r="O259" s="34">
        <f>((N259-80)*M259)*0.5</f>
        <v>328.43103448275861</v>
      </c>
      <c r="P259" s="35">
        <f t="shared" si="33"/>
        <v>22.99</v>
      </c>
      <c r="Q259" s="34">
        <f t="shared" si="31"/>
        <v>492.64655172413791</v>
      </c>
      <c r="R259" s="35"/>
    </row>
    <row r="260" spans="1:18" x14ac:dyDescent="0.3">
      <c r="A260" s="32">
        <v>43875</v>
      </c>
      <c r="B260" s="33" t="s">
        <v>95</v>
      </c>
      <c r="C260" s="34">
        <v>2154</v>
      </c>
      <c r="D260" s="33">
        <v>80</v>
      </c>
      <c r="E260" s="33"/>
      <c r="F260" s="33">
        <v>2189</v>
      </c>
      <c r="G260" s="34">
        <v>247.49</v>
      </c>
      <c r="H260" s="34">
        <v>35</v>
      </c>
      <c r="I260" s="34">
        <v>2436.4899999999998</v>
      </c>
      <c r="J260" s="34">
        <v>315.79000000000002</v>
      </c>
      <c r="K260" s="34">
        <v>2752.28</v>
      </c>
      <c r="L260" s="33" t="s">
        <v>14</v>
      </c>
      <c r="M260" s="34">
        <f t="shared" si="30"/>
        <v>22</v>
      </c>
      <c r="N260" s="27">
        <v>99.5</v>
      </c>
      <c r="O260" s="34">
        <f>((N260-80)*M260)*0.5</f>
        <v>214.5</v>
      </c>
      <c r="P260" s="35">
        <f t="shared" si="33"/>
        <v>12.87</v>
      </c>
      <c r="Q260" s="34">
        <f t="shared" si="31"/>
        <v>321.75</v>
      </c>
      <c r="R260" s="35"/>
    </row>
    <row r="261" spans="1:18" x14ac:dyDescent="0.3">
      <c r="A261" s="32">
        <v>43889</v>
      </c>
      <c r="B261" s="33" t="s">
        <v>95</v>
      </c>
      <c r="C261" s="34">
        <v>2376</v>
      </c>
      <c r="D261" s="33">
        <v>80</v>
      </c>
      <c r="E261" s="33"/>
      <c r="F261" s="33">
        <v>2376</v>
      </c>
      <c r="G261" s="34">
        <v>280.95999999999998</v>
      </c>
      <c r="H261" s="34">
        <v>0</v>
      </c>
      <c r="I261" s="34">
        <v>2656.96</v>
      </c>
      <c r="J261" s="34">
        <v>333.15</v>
      </c>
      <c r="K261" s="34">
        <v>2990.11</v>
      </c>
      <c r="L261" s="33" t="s">
        <v>14</v>
      </c>
      <c r="M261" s="34">
        <f t="shared" ref="M261:M284" si="35">(E261+F261)/N261</f>
        <v>22</v>
      </c>
      <c r="N261" s="27">
        <v>108</v>
      </c>
      <c r="O261" s="34">
        <f>((N261-80)*M261)*0.5</f>
        <v>308</v>
      </c>
      <c r="P261" s="35">
        <f t="shared" si="33"/>
        <v>18.48</v>
      </c>
      <c r="Q261" s="34">
        <f t="shared" ref="Q261:Q284" si="36">O261*1.5</f>
        <v>462</v>
      </c>
      <c r="R261" s="35"/>
    </row>
    <row r="262" spans="1:18" x14ac:dyDescent="0.3">
      <c r="A262" s="32">
        <v>43903</v>
      </c>
      <c r="B262" s="33" t="s">
        <v>95</v>
      </c>
      <c r="C262" s="34">
        <v>2233</v>
      </c>
      <c r="D262" s="33">
        <v>80</v>
      </c>
      <c r="E262" s="33"/>
      <c r="F262" s="33">
        <v>2233</v>
      </c>
      <c r="G262" s="34">
        <v>255.37</v>
      </c>
      <c r="H262" s="34">
        <v>0</v>
      </c>
      <c r="I262" s="34">
        <v>2488.37</v>
      </c>
      <c r="J262" s="34">
        <v>319.87</v>
      </c>
      <c r="K262" s="34">
        <v>2808.24</v>
      </c>
      <c r="L262" s="33" t="s">
        <v>14</v>
      </c>
      <c r="M262" s="34">
        <f t="shared" si="35"/>
        <v>22</v>
      </c>
      <c r="N262" s="27">
        <v>101.5</v>
      </c>
      <c r="O262" s="34">
        <f>((N262-80)*M262)*0.5</f>
        <v>236.5</v>
      </c>
      <c r="P262" s="35">
        <f t="shared" si="33"/>
        <v>11.83</v>
      </c>
      <c r="Q262" s="34">
        <f t="shared" si="36"/>
        <v>354.75</v>
      </c>
      <c r="R262" s="35"/>
    </row>
    <row r="263" spans="1:18" x14ac:dyDescent="0.3">
      <c r="A263" s="32">
        <v>43917</v>
      </c>
      <c r="B263" s="33" t="s">
        <v>95</v>
      </c>
      <c r="C263" s="34">
        <v>1968.54</v>
      </c>
      <c r="D263" s="33">
        <v>86</v>
      </c>
      <c r="E263" s="33"/>
      <c r="F263" s="36">
        <v>2225</v>
      </c>
      <c r="G263" s="34">
        <v>256.45999999999998</v>
      </c>
      <c r="H263" s="34">
        <v>0</v>
      </c>
      <c r="I263" s="34">
        <v>2225</v>
      </c>
      <c r="J263" s="34">
        <v>327.56</v>
      </c>
      <c r="K263" s="34">
        <v>2552.56</v>
      </c>
      <c r="L263" s="33" t="s">
        <v>14</v>
      </c>
      <c r="M263" s="34">
        <f t="shared" si="35"/>
        <v>25.872093023255815</v>
      </c>
      <c r="N263" s="27">
        <v>86</v>
      </c>
      <c r="O263" s="34">
        <f>((N263-80)*M263)*0.5</f>
        <v>77.616279069767444</v>
      </c>
      <c r="P263" s="35">
        <f t="shared" si="33"/>
        <v>3.88</v>
      </c>
      <c r="Q263" s="34">
        <f t="shared" si="36"/>
        <v>116.42441860465117</v>
      </c>
      <c r="R263" s="35"/>
    </row>
    <row r="264" spans="1:18" x14ac:dyDescent="0.3">
      <c r="A264" s="32">
        <v>43441</v>
      </c>
      <c r="B264" s="33" t="s">
        <v>96</v>
      </c>
      <c r="C264" s="34">
        <v>720</v>
      </c>
      <c r="D264" s="36">
        <v>40</v>
      </c>
      <c r="E264" s="33">
        <v>87.41</v>
      </c>
      <c r="F264" s="33">
        <v>720</v>
      </c>
      <c r="G264" s="34">
        <v>87.41</v>
      </c>
      <c r="H264" s="34">
        <v>0</v>
      </c>
      <c r="I264" s="34">
        <v>807.41</v>
      </c>
      <c r="J264" s="34">
        <v>161.49</v>
      </c>
      <c r="K264" s="34">
        <v>968.9</v>
      </c>
      <c r="L264" s="33">
        <v>100106</v>
      </c>
      <c r="M264" s="34">
        <f t="shared" si="35"/>
        <v>20.18525</v>
      </c>
      <c r="N264" s="27">
        <v>40</v>
      </c>
      <c r="O264" s="34">
        <v>0</v>
      </c>
      <c r="P264" s="35">
        <f t="shared" si="33"/>
        <v>0</v>
      </c>
      <c r="Q264" s="34">
        <f t="shared" si="36"/>
        <v>0</v>
      </c>
      <c r="R264" s="35">
        <v>409.55</v>
      </c>
    </row>
    <row r="265" spans="1:18" x14ac:dyDescent="0.3">
      <c r="A265" s="32">
        <v>43455</v>
      </c>
      <c r="B265" s="33" t="s">
        <v>96</v>
      </c>
      <c r="C265" s="34">
        <v>1310</v>
      </c>
      <c r="D265" s="33">
        <v>80</v>
      </c>
      <c r="E265" s="33">
        <v>288.82</v>
      </c>
      <c r="F265" s="33">
        <v>1760</v>
      </c>
      <c r="G265" s="34">
        <v>338.82</v>
      </c>
      <c r="H265" s="34">
        <v>400</v>
      </c>
      <c r="I265" s="34">
        <v>2048.8200000000002</v>
      </c>
      <c r="J265" s="34">
        <v>366.67</v>
      </c>
      <c r="K265" s="34">
        <v>2415.4899999999998</v>
      </c>
      <c r="L265" s="33">
        <v>100114</v>
      </c>
      <c r="M265" s="34">
        <f t="shared" si="35"/>
        <v>21.566526315789474</v>
      </c>
      <c r="N265" s="27">
        <v>95</v>
      </c>
      <c r="O265" s="34">
        <f>((N265-80)*M265)*0.5</f>
        <v>161.74894736842106</v>
      </c>
      <c r="P265" s="35">
        <f t="shared" si="33"/>
        <v>32.35</v>
      </c>
      <c r="Q265" s="34">
        <f t="shared" si="36"/>
        <v>242.62342105263158</v>
      </c>
      <c r="R265" s="35"/>
    </row>
    <row r="266" spans="1:18" x14ac:dyDescent="0.3">
      <c r="A266" s="32">
        <v>43469</v>
      </c>
      <c r="B266" s="33" t="s">
        <v>96</v>
      </c>
      <c r="C266" s="34">
        <v>1054</v>
      </c>
      <c r="D266" s="36">
        <v>51</v>
      </c>
      <c r="E266" s="33">
        <v>343.27</v>
      </c>
      <c r="F266" s="33">
        <v>1440</v>
      </c>
      <c r="G266" s="34">
        <v>289.27</v>
      </c>
      <c r="H266" s="34">
        <v>440</v>
      </c>
      <c r="I266" s="34">
        <v>1783.27</v>
      </c>
      <c r="J266" s="34">
        <v>339.94</v>
      </c>
      <c r="K266" s="34">
        <v>2123.21</v>
      </c>
      <c r="L266" s="33">
        <v>100120</v>
      </c>
      <c r="M266" s="34">
        <f t="shared" si="35"/>
        <v>21.485180722891567</v>
      </c>
      <c r="N266" s="27">
        <v>83</v>
      </c>
      <c r="O266" s="38">
        <f>(M266*0.5)*11</f>
        <v>118.16849397590362</v>
      </c>
      <c r="P266" s="35">
        <f t="shared" si="33"/>
        <v>23.63</v>
      </c>
      <c r="Q266" s="34">
        <f t="shared" si="36"/>
        <v>177.25274096385542</v>
      </c>
      <c r="R266" s="35"/>
    </row>
    <row r="267" spans="1:18" x14ac:dyDescent="0.3">
      <c r="A267" s="37" t="s">
        <v>77</v>
      </c>
      <c r="B267" s="33" t="s">
        <v>96</v>
      </c>
      <c r="C267" s="34">
        <v>1136</v>
      </c>
      <c r="D267" s="33">
        <v>80</v>
      </c>
      <c r="E267" s="33">
        <v>306.52</v>
      </c>
      <c r="F267" s="33">
        <v>1440</v>
      </c>
      <c r="G267" s="34">
        <v>180.52</v>
      </c>
      <c r="H267" s="34">
        <v>430</v>
      </c>
      <c r="I267" s="34">
        <v>1746.52</v>
      </c>
      <c r="J267" s="34">
        <v>336.24</v>
      </c>
      <c r="K267" s="34">
        <v>2082.7600000000002</v>
      </c>
      <c r="L267" s="33">
        <v>100129</v>
      </c>
      <c r="M267" s="34" t="e">
        <f t="shared" si="35"/>
        <v>#DIV/0!</v>
      </c>
      <c r="N267" s="27"/>
      <c r="O267" s="34" t="e">
        <f>((N267-80)*M267)*0.5</f>
        <v>#DIV/0!</v>
      </c>
      <c r="P267" s="35" t="e">
        <f t="shared" si="33"/>
        <v>#VALUE!</v>
      </c>
      <c r="Q267" s="34" t="e">
        <f t="shared" si="36"/>
        <v>#DIV/0!</v>
      </c>
      <c r="R267" s="35"/>
    </row>
    <row r="268" spans="1:18" x14ac:dyDescent="0.3">
      <c r="A268" s="32">
        <v>43497</v>
      </c>
      <c r="B268" s="33" t="s">
        <v>96</v>
      </c>
      <c r="C268" s="34">
        <v>1298</v>
      </c>
      <c r="D268" s="33">
        <v>80</v>
      </c>
      <c r="E268" s="33">
        <v>260.86</v>
      </c>
      <c r="F268" s="33">
        <v>1440</v>
      </c>
      <c r="G268" s="34">
        <v>272.86</v>
      </c>
      <c r="H268" s="34">
        <v>130</v>
      </c>
      <c r="I268" s="34">
        <v>1700.86</v>
      </c>
      <c r="J268" s="34">
        <v>331.64</v>
      </c>
      <c r="K268" s="34">
        <v>2032.5</v>
      </c>
      <c r="L268" s="33">
        <v>100138</v>
      </c>
      <c r="M268" s="34">
        <f t="shared" si="35"/>
        <v>16.513203883495148</v>
      </c>
      <c r="N268" s="27">
        <v>103</v>
      </c>
      <c r="O268" s="34">
        <f>((N268-80)*M268)*0.5</f>
        <v>189.9018446601942</v>
      </c>
      <c r="P268" s="35">
        <f t="shared" si="33"/>
        <v>36.08</v>
      </c>
      <c r="Q268" s="34">
        <f t="shared" si="36"/>
        <v>284.85276699029129</v>
      </c>
      <c r="R268" s="35"/>
    </row>
    <row r="269" spans="1:18" x14ac:dyDescent="0.3">
      <c r="A269" s="32">
        <v>43511</v>
      </c>
      <c r="B269" s="33" t="s">
        <v>96</v>
      </c>
      <c r="C269" s="34">
        <v>1640</v>
      </c>
      <c r="D269" s="33">
        <v>80</v>
      </c>
      <c r="E269" s="33">
        <v>216.91</v>
      </c>
      <c r="F269" s="33">
        <v>1990</v>
      </c>
      <c r="G269" s="34">
        <v>216.91</v>
      </c>
      <c r="H269" s="34">
        <v>350</v>
      </c>
      <c r="I269" s="34">
        <v>2206.91</v>
      </c>
      <c r="J269" s="34">
        <v>379.93</v>
      </c>
      <c r="K269" s="34">
        <v>2586.84</v>
      </c>
      <c r="L269" s="33" t="s">
        <v>14</v>
      </c>
      <c r="M269" s="34">
        <f t="shared" si="35"/>
        <v>22.18</v>
      </c>
      <c r="N269" s="27">
        <v>99.5</v>
      </c>
      <c r="O269" s="34">
        <f>((N269-80)*M269)*0.5</f>
        <v>216.255</v>
      </c>
      <c r="P269" s="35">
        <f t="shared" si="33"/>
        <v>38.93</v>
      </c>
      <c r="Q269" s="34">
        <f t="shared" si="36"/>
        <v>324.38249999999999</v>
      </c>
      <c r="R269" s="35"/>
    </row>
    <row r="270" spans="1:18" x14ac:dyDescent="0.3">
      <c r="A270" s="32">
        <v>43523</v>
      </c>
      <c r="B270" s="33" t="s">
        <v>96</v>
      </c>
      <c r="C270" s="34">
        <v>1280</v>
      </c>
      <c r="D270" s="36">
        <v>49</v>
      </c>
      <c r="E270" s="33"/>
      <c r="F270" s="33">
        <v>1280</v>
      </c>
      <c r="G270" s="34">
        <v>184.51</v>
      </c>
      <c r="H270" s="34">
        <v>0</v>
      </c>
      <c r="I270" s="34">
        <v>1464.51</v>
      </c>
      <c r="J270" s="34">
        <v>138.55000000000001</v>
      </c>
      <c r="K270" s="34">
        <v>1603.06</v>
      </c>
      <c r="L270" s="33" t="s">
        <v>14</v>
      </c>
      <c r="M270" s="34">
        <f t="shared" si="35"/>
        <v>19.393939393939394</v>
      </c>
      <c r="N270" s="27">
        <v>66</v>
      </c>
      <c r="O270" s="38">
        <f>(M270*0.5)*9</f>
        <v>87.27272727272728</v>
      </c>
      <c r="P270" s="35">
        <f t="shared" si="33"/>
        <v>15.71</v>
      </c>
      <c r="Q270" s="34">
        <f t="shared" si="36"/>
        <v>130.90909090909093</v>
      </c>
      <c r="R270" s="35"/>
    </row>
    <row r="271" spans="1:18" x14ac:dyDescent="0.3">
      <c r="A271" s="32">
        <v>43539</v>
      </c>
      <c r="B271" s="33" t="s">
        <v>96</v>
      </c>
      <c r="C271" s="34">
        <v>1870</v>
      </c>
      <c r="D271" s="33">
        <v>80</v>
      </c>
      <c r="E271" s="33">
        <v>812.7</v>
      </c>
      <c r="F271" s="33">
        <v>1440</v>
      </c>
      <c r="G271" s="34">
        <v>382.7</v>
      </c>
      <c r="H271" s="34">
        <v>0</v>
      </c>
      <c r="I271" s="34">
        <v>2252.6999999999998</v>
      </c>
      <c r="J271" s="34">
        <v>373.64</v>
      </c>
      <c r="K271" s="34">
        <v>2626.34</v>
      </c>
      <c r="L271" s="33" t="s">
        <v>14</v>
      </c>
      <c r="M271" s="34">
        <f t="shared" si="35"/>
        <v>24.093048128342243</v>
      </c>
      <c r="N271" s="27">
        <v>93.5</v>
      </c>
      <c r="O271" s="34">
        <f>((N271-80)*M271)*0.5</f>
        <v>162.62807486631013</v>
      </c>
      <c r="P271" s="35">
        <f t="shared" si="33"/>
        <v>27.65</v>
      </c>
      <c r="Q271" s="34">
        <f t="shared" si="36"/>
        <v>243.94211229946518</v>
      </c>
      <c r="R271" s="35"/>
    </row>
    <row r="272" spans="1:18" x14ac:dyDescent="0.3">
      <c r="A272" s="32">
        <v>43553</v>
      </c>
      <c r="B272" s="33" t="s">
        <v>96</v>
      </c>
      <c r="C272" s="34">
        <v>1554</v>
      </c>
      <c r="D272" s="36">
        <v>46</v>
      </c>
      <c r="E272" s="33">
        <v>522.21</v>
      </c>
      <c r="F272" s="33">
        <v>1332</v>
      </c>
      <c r="G272" s="34">
        <v>300.20999999999998</v>
      </c>
      <c r="H272" s="34">
        <v>0</v>
      </c>
      <c r="I272" s="34">
        <v>1854.21</v>
      </c>
      <c r="J272" s="34">
        <v>323.91000000000003</v>
      </c>
      <c r="K272" s="34">
        <v>2178.12</v>
      </c>
      <c r="L272" s="33" t="s">
        <v>14</v>
      </c>
      <c r="M272" s="34">
        <f t="shared" si="35"/>
        <v>25.056891891891894</v>
      </c>
      <c r="N272" s="27">
        <v>74</v>
      </c>
      <c r="O272" s="38">
        <f>(M272*0.5)*6</f>
        <v>75.170675675675682</v>
      </c>
      <c r="P272" s="35">
        <f t="shared" si="33"/>
        <v>12.78</v>
      </c>
      <c r="Q272" s="34">
        <f t="shared" si="36"/>
        <v>112.75601351351352</v>
      </c>
      <c r="R272" s="35"/>
    </row>
    <row r="273" spans="1:18" x14ac:dyDescent="0.3">
      <c r="A273" s="32">
        <v>43567</v>
      </c>
      <c r="B273" s="33" t="s">
        <v>96</v>
      </c>
      <c r="C273" s="34">
        <v>1808</v>
      </c>
      <c r="D273" s="33">
        <v>80</v>
      </c>
      <c r="E273" s="33">
        <v>785.23</v>
      </c>
      <c r="F273" s="33">
        <v>1440</v>
      </c>
      <c r="G273" s="34">
        <v>377.23</v>
      </c>
      <c r="H273" s="34">
        <v>40</v>
      </c>
      <c r="I273" s="34">
        <v>2225.23</v>
      </c>
      <c r="J273" s="34">
        <v>371.05</v>
      </c>
      <c r="K273" s="34">
        <v>2596.2800000000002</v>
      </c>
      <c r="L273" s="33" t="s">
        <v>14</v>
      </c>
      <c r="M273" s="34">
        <f t="shared" si="35"/>
        <v>25.286704545454544</v>
      </c>
      <c r="N273" s="27">
        <v>88</v>
      </c>
      <c r="O273" s="34">
        <f t="shared" ref="O273:O279" si="37">((N273-80)*M273)*0.5</f>
        <v>101.14681818181818</v>
      </c>
      <c r="P273" s="35">
        <f t="shared" ref="P273:P304" si="38">ROUND(((ROUNDDOWN(($T$1-A273)/30,0))/100)*O273,2)</f>
        <v>16.18</v>
      </c>
      <c r="Q273" s="34">
        <f t="shared" si="36"/>
        <v>151.72022727272727</v>
      </c>
      <c r="R273" s="35"/>
    </row>
    <row r="274" spans="1:18" x14ac:dyDescent="0.3">
      <c r="A274" s="32">
        <v>43581</v>
      </c>
      <c r="B274" s="33" t="s">
        <v>96</v>
      </c>
      <c r="C274" s="34">
        <v>1838</v>
      </c>
      <c r="D274" s="33">
        <v>80</v>
      </c>
      <c r="E274" s="33">
        <v>785.21</v>
      </c>
      <c r="F274" s="33">
        <v>1440</v>
      </c>
      <c r="G274" s="34">
        <v>377.21</v>
      </c>
      <c r="H274" s="34">
        <v>10</v>
      </c>
      <c r="I274" s="34">
        <v>2225.21</v>
      </c>
      <c r="J274" s="34">
        <v>367.26</v>
      </c>
      <c r="K274" s="34">
        <v>2592.4699999999998</v>
      </c>
      <c r="L274" s="33" t="s">
        <v>14</v>
      </c>
      <c r="M274" s="34">
        <f t="shared" si="35"/>
        <v>25.286477272727272</v>
      </c>
      <c r="N274" s="27">
        <v>88</v>
      </c>
      <c r="O274" s="34">
        <f t="shared" si="37"/>
        <v>101.14590909090909</v>
      </c>
      <c r="P274" s="35">
        <f t="shared" si="38"/>
        <v>16.18</v>
      </c>
      <c r="Q274" s="34">
        <f t="shared" si="36"/>
        <v>151.71886363636364</v>
      </c>
      <c r="R274" s="35"/>
    </row>
    <row r="275" spans="1:18" x14ac:dyDescent="0.3">
      <c r="A275" s="32">
        <v>43595</v>
      </c>
      <c r="B275" s="33" t="s">
        <v>96</v>
      </c>
      <c r="C275" s="34">
        <v>1932</v>
      </c>
      <c r="D275" s="33">
        <v>80</v>
      </c>
      <c r="E275" s="33">
        <v>890.11</v>
      </c>
      <c r="F275" s="33">
        <v>1440</v>
      </c>
      <c r="G275" s="34">
        <v>398.11</v>
      </c>
      <c r="H275" s="34">
        <v>0</v>
      </c>
      <c r="I275" s="34">
        <v>2330.11</v>
      </c>
      <c r="J275" s="34">
        <v>377.01</v>
      </c>
      <c r="K275" s="34">
        <v>2707.12</v>
      </c>
      <c r="L275" s="33" t="s">
        <v>14</v>
      </c>
      <c r="M275" s="34">
        <f t="shared" si="35"/>
        <v>25.327282608695654</v>
      </c>
      <c r="N275" s="27">
        <v>92</v>
      </c>
      <c r="O275" s="34">
        <f t="shared" si="37"/>
        <v>151.96369565217393</v>
      </c>
      <c r="P275" s="35">
        <f t="shared" si="38"/>
        <v>24.31</v>
      </c>
      <c r="Q275" s="34">
        <f t="shared" si="36"/>
        <v>227.9455434782609</v>
      </c>
      <c r="R275" s="35"/>
    </row>
    <row r="276" spans="1:18" x14ac:dyDescent="0.3">
      <c r="A276" s="32">
        <v>43609</v>
      </c>
      <c r="B276" s="33" t="s">
        <v>96</v>
      </c>
      <c r="C276" s="34">
        <v>2151</v>
      </c>
      <c r="D276" s="33">
        <v>80</v>
      </c>
      <c r="E276" s="33">
        <v>1190.98</v>
      </c>
      <c r="F276" s="33">
        <v>1440</v>
      </c>
      <c r="G276" s="34">
        <v>457.98</v>
      </c>
      <c r="H276" s="34">
        <v>22</v>
      </c>
      <c r="I276" s="34">
        <v>2630.98</v>
      </c>
      <c r="J276" s="34">
        <v>404.97</v>
      </c>
      <c r="K276" s="34">
        <v>3035.95</v>
      </c>
      <c r="L276" s="33" t="s">
        <v>14</v>
      </c>
      <c r="M276" s="34">
        <f t="shared" si="35"/>
        <v>25.420096618357487</v>
      </c>
      <c r="N276" s="27">
        <v>103.5</v>
      </c>
      <c r="O276" s="34">
        <f t="shared" si="37"/>
        <v>298.6861352657005</v>
      </c>
      <c r="P276" s="35">
        <f t="shared" si="38"/>
        <v>44.8</v>
      </c>
      <c r="Q276" s="34">
        <f t="shared" si="36"/>
        <v>448.02920289855075</v>
      </c>
      <c r="R276" s="35"/>
    </row>
    <row r="277" spans="1:18" x14ac:dyDescent="0.3">
      <c r="A277" s="32">
        <v>43623</v>
      </c>
      <c r="B277" s="33" t="s">
        <v>96</v>
      </c>
      <c r="C277" s="34">
        <v>1879</v>
      </c>
      <c r="D277" s="33">
        <v>80</v>
      </c>
      <c r="E277" s="33">
        <v>823.92</v>
      </c>
      <c r="F277" s="33">
        <v>1440</v>
      </c>
      <c r="G277" s="34">
        <v>384.92</v>
      </c>
      <c r="H277" s="34">
        <v>0</v>
      </c>
      <c r="I277" s="34">
        <v>2263.92</v>
      </c>
      <c r="J277" s="34">
        <v>370.84</v>
      </c>
      <c r="K277" s="34">
        <v>2634.76</v>
      </c>
      <c r="L277" s="33" t="s">
        <v>14</v>
      </c>
      <c r="M277" s="34">
        <f t="shared" si="35"/>
        <v>25.295195530726257</v>
      </c>
      <c r="N277" s="27">
        <v>89.5</v>
      </c>
      <c r="O277" s="34">
        <f t="shared" si="37"/>
        <v>120.15217877094972</v>
      </c>
      <c r="P277" s="35">
        <f t="shared" si="38"/>
        <v>18.02</v>
      </c>
      <c r="Q277" s="34">
        <f t="shared" si="36"/>
        <v>180.22826815642458</v>
      </c>
      <c r="R277" s="35"/>
    </row>
    <row r="278" spans="1:18" x14ac:dyDescent="0.3">
      <c r="A278" s="32">
        <v>43637</v>
      </c>
      <c r="B278" s="33" t="s">
        <v>96</v>
      </c>
      <c r="C278" s="34">
        <v>2320</v>
      </c>
      <c r="D278" s="33">
        <v>80</v>
      </c>
      <c r="E278" s="33">
        <v>1229.31</v>
      </c>
      <c r="F278" s="33">
        <v>1440</v>
      </c>
      <c r="G278" s="34">
        <v>349.31</v>
      </c>
      <c r="H278" s="34">
        <v>0</v>
      </c>
      <c r="I278" s="34">
        <v>2669.31</v>
      </c>
      <c r="J278" s="34">
        <v>408.53</v>
      </c>
      <c r="K278" s="34">
        <v>3077.84</v>
      </c>
      <c r="L278" s="33" t="s">
        <v>14</v>
      </c>
      <c r="M278" s="34">
        <f t="shared" si="35"/>
        <v>24.156651583710406</v>
      </c>
      <c r="N278" s="27">
        <v>110.5</v>
      </c>
      <c r="O278" s="34">
        <f t="shared" si="37"/>
        <v>368.38893665158372</v>
      </c>
      <c r="P278" s="35">
        <f t="shared" si="38"/>
        <v>51.57</v>
      </c>
      <c r="Q278" s="34">
        <f t="shared" si="36"/>
        <v>552.58340497737561</v>
      </c>
      <c r="R278" s="35"/>
    </row>
    <row r="279" spans="1:18" x14ac:dyDescent="0.3">
      <c r="A279" s="32">
        <v>43651</v>
      </c>
      <c r="B279" s="33" t="s">
        <v>96</v>
      </c>
      <c r="C279" s="34">
        <v>1785</v>
      </c>
      <c r="D279" s="33">
        <v>80</v>
      </c>
      <c r="E279" s="33">
        <v>224.31</v>
      </c>
      <c r="F279" s="33">
        <v>1760</v>
      </c>
      <c r="G279" s="34">
        <v>199.31</v>
      </c>
      <c r="H279" s="34">
        <v>0</v>
      </c>
      <c r="I279" s="34">
        <v>1984.31</v>
      </c>
      <c r="J279" s="34">
        <v>344.89</v>
      </c>
      <c r="K279" s="34">
        <v>2329.1999999999998</v>
      </c>
      <c r="L279" s="33" t="s">
        <v>14</v>
      </c>
      <c r="M279" s="34">
        <f t="shared" si="35"/>
        <v>23.344823529411762</v>
      </c>
      <c r="N279" s="27">
        <v>85</v>
      </c>
      <c r="O279" s="34">
        <f t="shared" si="37"/>
        <v>58.362058823529409</v>
      </c>
      <c r="P279" s="35">
        <f t="shared" si="38"/>
        <v>8.17</v>
      </c>
      <c r="Q279" s="34">
        <f t="shared" si="36"/>
        <v>87.543088235294107</v>
      </c>
      <c r="R279" s="35"/>
    </row>
    <row r="280" spans="1:18" x14ac:dyDescent="0.3">
      <c r="A280" s="32">
        <v>43665</v>
      </c>
      <c r="B280" s="33" t="s">
        <v>96</v>
      </c>
      <c r="C280" s="34">
        <v>1701</v>
      </c>
      <c r="D280" s="36">
        <v>49</v>
      </c>
      <c r="E280" s="33">
        <v>209.99</v>
      </c>
      <c r="F280" s="33">
        <v>1701</v>
      </c>
      <c r="G280" s="34">
        <v>209.99</v>
      </c>
      <c r="H280" s="34">
        <v>0</v>
      </c>
      <c r="I280" s="34">
        <v>1910.99</v>
      </c>
      <c r="J280" s="34">
        <v>338.06</v>
      </c>
      <c r="K280" s="34">
        <v>2249.0500000000002</v>
      </c>
      <c r="L280" s="33" t="s">
        <v>14</v>
      </c>
      <c r="M280" s="34">
        <f t="shared" si="35"/>
        <v>23.592469135802471</v>
      </c>
      <c r="N280" s="27">
        <v>81</v>
      </c>
      <c r="O280" s="38">
        <f>(M280*0.5)*9</f>
        <v>106.16611111111112</v>
      </c>
      <c r="P280" s="35">
        <f t="shared" si="38"/>
        <v>13.8</v>
      </c>
      <c r="Q280" s="34">
        <f t="shared" si="36"/>
        <v>159.24916666666667</v>
      </c>
      <c r="R280" s="35"/>
    </row>
    <row r="281" spans="1:18" x14ac:dyDescent="0.3">
      <c r="A281" s="32">
        <v>43679</v>
      </c>
      <c r="B281" s="33" t="s">
        <v>96</v>
      </c>
      <c r="C281" s="34">
        <v>2131</v>
      </c>
      <c r="D281" s="33">
        <v>80</v>
      </c>
      <c r="E281" s="33">
        <v>303.69</v>
      </c>
      <c r="F281" s="33">
        <v>2131</v>
      </c>
      <c r="G281" s="34">
        <v>303.75</v>
      </c>
      <c r="H281" s="34">
        <v>-0.06</v>
      </c>
      <c r="I281" s="34">
        <v>2434.69</v>
      </c>
      <c r="J281" s="34">
        <v>386.73</v>
      </c>
      <c r="K281" s="34">
        <v>2821.42</v>
      </c>
      <c r="L281" s="33" t="s">
        <v>14</v>
      </c>
      <c r="M281" s="34">
        <f t="shared" si="35"/>
        <v>23.987093596059115</v>
      </c>
      <c r="N281" s="27">
        <v>101.5</v>
      </c>
      <c r="O281" s="34">
        <f>((N281-80)*M281)*0.5</f>
        <v>257.86125615763547</v>
      </c>
      <c r="P281" s="35">
        <f t="shared" si="38"/>
        <v>33.520000000000003</v>
      </c>
      <c r="Q281" s="34">
        <f t="shared" si="36"/>
        <v>386.7918842364532</v>
      </c>
      <c r="R281" s="35"/>
    </row>
    <row r="282" spans="1:18" x14ac:dyDescent="0.3">
      <c r="A282" s="32">
        <v>43693</v>
      </c>
      <c r="B282" s="33" t="s">
        <v>96</v>
      </c>
      <c r="C282" s="34">
        <v>2247</v>
      </c>
      <c r="D282" s="36">
        <v>51.5</v>
      </c>
      <c r="E282" s="33">
        <v>331.17</v>
      </c>
      <c r="F282" s="33">
        <v>2247</v>
      </c>
      <c r="G282" s="34">
        <v>331.17</v>
      </c>
      <c r="H282" s="34">
        <v>0</v>
      </c>
      <c r="I282" s="34">
        <v>2578.17</v>
      </c>
      <c r="J282" s="34">
        <v>400.06</v>
      </c>
      <c r="K282" s="34">
        <v>2978.23</v>
      </c>
      <c r="L282" s="33" t="s">
        <v>14</v>
      </c>
      <c r="M282" s="34">
        <f t="shared" si="35"/>
        <v>50.061553398058251</v>
      </c>
      <c r="N282" s="27">
        <v>51.5</v>
      </c>
      <c r="O282" s="38">
        <f>(M282*0.5)*11.5</f>
        <v>287.85393203883496</v>
      </c>
      <c r="P282" s="35">
        <f t="shared" si="38"/>
        <v>34.54</v>
      </c>
      <c r="Q282" s="34">
        <f t="shared" si="36"/>
        <v>431.78089805825243</v>
      </c>
      <c r="R282" s="35"/>
    </row>
    <row r="283" spans="1:18" x14ac:dyDescent="0.3">
      <c r="A283" s="32">
        <v>43707</v>
      </c>
      <c r="B283" s="33" t="s">
        <v>96</v>
      </c>
      <c r="C283" s="34">
        <v>2194.0100000000002</v>
      </c>
      <c r="D283" s="33">
        <v>80</v>
      </c>
      <c r="E283" s="33">
        <v>318</v>
      </c>
      <c r="F283" s="33">
        <v>2194</v>
      </c>
      <c r="G283" s="34">
        <v>317.99</v>
      </c>
      <c r="H283" s="34">
        <v>0</v>
      </c>
      <c r="I283" s="34">
        <v>2512</v>
      </c>
      <c r="J283" s="34">
        <v>393.9</v>
      </c>
      <c r="K283" s="34">
        <v>2905.9</v>
      </c>
      <c r="L283" s="33" t="s">
        <v>14</v>
      </c>
      <c r="M283" s="34">
        <f t="shared" si="35"/>
        <v>25.502538071065988</v>
      </c>
      <c r="N283" s="27">
        <v>98.5</v>
      </c>
      <c r="O283" s="34">
        <f>((N283-80)*M283)*0.5</f>
        <v>235.89847715736039</v>
      </c>
      <c r="P283" s="35">
        <f t="shared" si="38"/>
        <v>28.31</v>
      </c>
      <c r="Q283" s="34">
        <f t="shared" si="36"/>
        <v>353.84771573604058</v>
      </c>
      <c r="R283" s="35"/>
    </row>
    <row r="284" spans="1:18" x14ac:dyDescent="0.3">
      <c r="A284" s="32">
        <v>43721</v>
      </c>
      <c r="B284" s="33" t="s">
        <v>96</v>
      </c>
      <c r="C284" s="34">
        <v>1850</v>
      </c>
      <c r="D284" s="36">
        <v>50</v>
      </c>
      <c r="E284" s="33">
        <v>242.49</v>
      </c>
      <c r="F284" s="33">
        <v>1850</v>
      </c>
      <c r="G284" s="34">
        <v>242.49</v>
      </c>
      <c r="H284" s="34">
        <v>0</v>
      </c>
      <c r="I284" s="34">
        <v>2092.4899999999998</v>
      </c>
      <c r="J284" s="34">
        <v>354.93</v>
      </c>
      <c r="K284" s="34">
        <v>2447.42</v>
      </c>
      <c r="L284" s="33" t="s">
        <v>14</v>
      </c>
      <c r="M284" s="34">
        <f t="shared" si="35"/>
        <v>41.849799999999995</v>
      </c>
      <c r="N284" s="27">
        <v>50</v>
      </c>
      <c r="O284" s="38">
        <f>(M284*0.5)*10</f>
        <v>209.24899999999997</v>
      </c>
      <c r="P284" s="35">
        <f t="shared" si="38"/>
        <v>23.02</v>
      </c>
      <c r="Q284" s="34">
        <f t="shared" si="36"/>
        <v>313.87349999999992</v>
      </c>
      <c r="R284" s="35"/>
    </row>
    <row r="285" spans="1:18" x14ac:dyDescent="0.3">
      <c r="A285" s="32">
        <v>43407</v>
      </c>
      <c r="B285" s="33" t="s">
        <v>97</v>
      </c>
      <c r="C285" s="34"/>
      <c r="D285" s="31">
        <v>32</v>
      </c>
      <c r="E285" s="33"/>
      <c r="F285" s="33"/>
      <c r="G285" s="34"/>
      <c r="H285" s="34"/>
      <c r="I285" s="34"/>
      <c r="J285" s="34"/>
      <c r="K285" s="34"/>
      <c r="L285" s="33"/>
      <c r="M285" s="34"/>
      <c r="N285" s="27"/>
      <c r="O285" s="34"/>
      <c r="P285" s="35">
        <f t="shared" si="38"/>
        <v>0</v>
      </c>
      <c r="Q285" s="34"/>
      <c r="R285" s="35"/>
    </row>
    <row r="286" spans="1:18" x14ac:dyDescent="0.3">
      <c r="A286" s="32">
        <v>43427</v>
      </c>
      <c r="B286" s="33" t="s">
        <v>97</v>
      </c>
      <c r="C286" s="34">
        <v>1161</v>
      </c>
      <c r="D286" s="33">
        <v>80</v>
      </c>
      <c r="E286" s="33">
        <v>103.19</v>
      </c>
      <c r="F286" s="33">
        <v>1200</v>
      </c>
      <c r="G286" s="34">
        <v>142.19</v>
      </c>
      <c r="H286" s="34">
        <v>0</v>
      </c>
      <c r="I286" s="34">
        <v>1303.19</v>
      </c>
      <c r="J286" s="34">
        <v>291.64999999999998</v>
      </c>
      <c r="K286" s="34">
        <v>1594.84</v>
      </c>
      <c r="L286" s="33" t="s">
        <v>14</v>
      </c>
      <c r="M286" s="34">
        <f t="shared" ref="M286:M312" si="39">(E286+F286)/N286</f>
        <v>13.574895833333334</v>
      </c>
      <c r="N286" s="27">
        <v>96</v>
      </c>
      <c r="O286" s="34">
        <f>((N286-80)*M286)*0.5</f>
        <v>108.59916666666668</v>
      </c>
      <c r="P286" s="35">
        <f t="shared" si="38"/>
        <v>22.81</v>
      </c>
      <c r="Q286" s="34">
        <f t="shared" ref="Q286:Q312" si="40">O286*1.5</f>
        <v>162.89875000000001</v>
      </c>
      <c r="R286" s="35">
        <v>409.55</v>
      </c>
    </row>
    <row r="287" spans="1:18" x14ac:dyDescent="0.3">
      <c r="A287" s="32">
        <v>43441</v>
      </c>
      <c r="B287" s="33" t="s">
        <v>97</v>
      </c>
      <c r="C287" s="34">
        <v>802</v>
      </c>
      <c r="D287" s="36">
        <v>45</v>
      </c>
      <c r="E287" s="33">
        <v>109.45</v>
      </c>
      <c r="F287" s="33">
        <v>1380</v>
      </c>
      <c r="G287" s="34">
        <v>247.45</v>
      </c>
      <c r="H287" s="34">
        <v>440</v>
      </c>
      <c r="I287" s="34">
        <v>1489.45</v>
      </c>
      <c r="J287" s="34">
        <v>288.29000000000002</v>
      </c>
      <c r="K287" s="34">
        <v>1777.74</v>
      </c>
      <c r="L287" s="33" t="s">
        <v>14</v>
      </c>
      <c r="M287" s="34">
        <f t="shared" si="39"/>
        <v>21.586231884057973</v>
      </c>
      <c r="N287" s="27">
        <v>69</v>
      </c>
      <c r="O287" s="38">
        <f>(M287*0.5)*5</f>
        <v>53.965579710144937</v>
      </c>
      <c r="P287" s="35">
        <f t="shared" si="38"/>
        <v>11.33</v>
      </c>
      <c r="Q287" s="34">
        <f t="shared" si="40"/>
        <v>80.948369565217405</v>
      </c>
      <c r="R287" s="35"/>
    </row>
    <row r="288" spans="1:18" x14ac:dyDescent="0.3">
      <c r="A288" s="32">
        <v>43455</v>
      </c>
      <c r="B288" s="33" t="s">
        <v>97</v>
      </c>
      <c r="C288" s="34">
        <v>1085</v>
      </c>
      <c r="D288" s="33">
        <v>80</v>
      </c>
      <c r="E288" s="33">
        <v>400.24</v>
      </c>
      <c r="F288" s="33">
        <v>1440</v>
      </c>
      <c r="G288" s="34">
        <v>322.24</v>
      </c>
      <c r="H288" s="34">
        <v>433</v>
      </c>
      <c r="I288" s="34">
        <v>1840.24</v>
      </c>
      <c r="J288" s="34">
        <v>345.68</v>
      </c>
      <c r="K288" s="34">
        <v>2185.92</v>
      </c>
      <c r="L288" s="33" t="s">
        <v>14</v>
      </c>
      <c r="M288" s="34">
        <f t="shared" si="39"/>
        <v>21.398139534883722</v>
      </c>
      <c r="N288" s="27">
        <v>86</v>
      </c>
      <c r="O288" s="34">
        <f>((N288-80)*M288)*0.5</f>
        <v>64.194418604651162</v>
      </c>
      <c r="P288" s="35">
        <f t="shared" si="38"/>
        <v>12.84</v>
      </c>
      <c r="Q288" s="34">
        <f t="shared" si="40"/>
        <v>96.291627906976743</v>
      </c>
      <c r="R288" s="35"/>
    </row>
    <row r="289" spans="1:18" x14ac:dyDescent="0.3">
      <c r="A289" s="32">
        <v>43469</v>
      </c>
      <c r="B289" s="33" t="s">
        <v>97</v>
      </c>
      <c r="C289" s="34">
        <v>1054</v>
      </c>
      <c r="D289" s="36">
        <v>51</v>
      </c>
      <c r="E289" s="33">
        <v>374.48</v>
      </c>
      <c r="F289" s="33">
        <v>1440</v>
      </c>
      <c r="G289" s="34">
        <v>320.48</v>
      </c>
      <c r="H289" s="34">
        <v>440</v>
      </c>
      <c r="I289" s="34">
        <v>1814.48</v>
      </c>
      <c r="J289" s="34">
        <v>343.08</v>
      </c>
      <c r="K289" s="34">
        <v>2157.56</v>
      </c>
      <c r="L289" s="33" t="s">
        <v>14</v>
      </c>
      <c r="M289" s="34">
        <f t="shared" si="39"/>
        <v>21.861204819277109</v>
      </c>
      <c r="N289" s="27">
        <v>83</v>
      </c>
      <c r="O289" s="38">
        <f>(M289*0.5)*11</f>
        <v>120.23662650602409</v>
      </c>
      <c r="P289" s="35">
        <f t="shared" si="38"/>
        <v>24.05</v>
      </c>
      <c r="Q289" s="34">
        <f t="shared" si="40"/>
        <v>180.35493975903614</v>
      </c>
      <c r="R289" s="35"/>
    </row>
    <row r="290" spans="1:18" x14ac:dyDescent="0.3">
      <c r="A290" s="37" t="s">
        <v>77</v>
      </c>
      <c r="B290" s="33" t="s">
        <v>97</v>
      </c>
      <c r="C290" s="34">
        <v>136.26</v>
      </c>
      <c r="D290" s="33">
        <v>0</v>
      </c>
      <c r="E290" s="33"/>
      <c r="F290" s="33">
        <v>136.26</v>
      </c>
      <c r="G290" s="34">
        <v>11.68</v>
      </c>
      <c r="H290" s="34">
        <v>0</v>
      </c>
      <c r="I290" s="34">
        <v>147.94</v>
      </c>
      <c r="J290" s="34">
        <v>14.88</v>
      </c>
      <c r="K290" s="34">
        <v>162.82</v>
      </c>
      <c r="L290" s="33" t="s">
        <v>14</v>
      </c>
      <c r="M290" s="34" t="e">
        <f t="shared" si="39"/>
        <v>#DIV/0!</v>
      </c>
      <c r="N290" s="27"/>
      <c r="O290" s="34" t="e">
        <f t="shared" ref="O290:O295" si="41">((N290-80)*M290)*0.5</f>
        <v>#DIV/0!</v>
      </c>
      <c r="P290" s="35" t="e">
        <f t="shared" si="38"/>
        <v>#VALUE!</v>
      </c>
      <c r="Q290" s="34" t="e">
        <f t="shared" si="40"/>
        <v>#DIV/0!</v>
      </c>
      <c r="R290" s="35"/>
    </row>
    <row r="291" spans="1:18" x14ac:dyDescent="0.3">
      <c r="A291" s="37" t="s">
        <v>77</v>
      </c>
      <c r="B291" s="33" t="s">
        <v>97</v>
      </c>
      <c r="C291" s="34">
        <v>1399.74</v>
      </c>
      <c r="D291" s="33">
        <v>80</v>
      </c>
      <c r="E291" s="33">
        <v>126</v>
      </c>
      <c r="F291" s="33">
        <v>1440</v>
      </c>
      <c r="G291" s="34">
        <v>166.26</v>
      </c>
      <c r="H291" s="34">
        <v>0</v>
      </c>
      <c r="I291" s="34">
        <v>1566</v>
      </c>
      <c r="J291" s="34">
        <v>318.07</v>
      </c>
      <c r="K291" s="34">
        <v>1884.07</v>
      </c>
      <c r="L291" s="33" t="s">
        <v>14</v>
      </c>
      <c r="M291" s="34" t="e">
        <f t="shared" si="39"/>
        <v>#DIV/0!</v>
      </c>
      <c r="N291" s="27"/>
      <c r="O291" s="34" t="e">
        <f t="shared" si="41"/>
        <v>#DIV/0!</v>
      </c>
      <c r="P291" s="35" t="e">
        <f t="shared" si="38"/>
        <v>#VALUE!</v>
      </c>
      <c r="Q291" s="34" t="e">
        <f t="shared" si="40"/>
        <v>#DIV/0!</v>
      </c>
      <c r="R291" s="35"/>
    </row>
    <row r="292" spans="1:18" x14ac:dyDescent="0.3">
      <c r="A292" s="32">
        <v>43497</v>
      </c>
      <c r="B292" s="33" t="s">
        <v>97</v>
      </c>
      <c r="C292" s="34">
        <v>2152</v>
      </c>
      <c r="D292" s="33">
        <v>80</v>
      </c>
      <c r="E292" s="33">
        <v>1265.45</v>
      </c>
      <c r="F292" s="33">
        <v>1440</v>
      </c>
      <c r="G292" s="34">
        <v>553.45000000000005</v>
      </c>
      <c r="H292" s="34">
        <v>0</v>
      </c>
      <c r="I292" s="34">
        <v>2705.45</v>
      </c>
      <c r="J292" s="34">
        <v>432.71</v>
      </c>
      <c r="K292" s="34">
        <v>3138.16</v>
      </c>
      <c r="L292" s="33" t="s">
        <v>14</v>
      </c>
      <c r="M292" s="34">
        <f t="shared" si="39"/>
        <v>22.639748953974895</v>
      </c>
      <c r="N292" s="27">
        <v>119.5</v>
      </c>
      <c r="O292" s="34">
        <f t="shared" si="41"/>
        <v>447.13504184100418</v>
      </c>
      <c r="P292" s="35">
        <f t="shared" si="38"/>
        <v>84.96</v>
      </c>
      <c r="Q292" s="34">
        <f t="shared" si="40"/>
        <v>670.70256276150621</v>
      </c>
      <c r="R292" s="35"/>
    </row>
    <row r="293" spans="1:18" x14ac:dyDescent="0.3">
      <c r="A293" s="37" t="s">
        <v>77</v>
      </c>
      <c r="B293" s="33" t="s">
        <v>97</v>
      </c>
      <c r="C293" s="34">
        <v>1743</v>
      </c>
      <c r="D293" s="33">
        <v>80</v>
      </c>
      <c r="E293" s="33">
        <v>195.71</v>
      </c>
      <c r="F293" s="33">
        <v>1743</v>
      </c>
      <c r="G293" s="34">
        <v>195.71</v>
      </c>
      <c r="H293" s="34">
        <v>0</v>
      </c>
      <c r="I293" s="34">
        <v>1938.71</v>
      </c>
      <c r="J293" s="34">
        <v>348.54</v>
      </c>
      <c r="K293" s="34">
        <v>2287.25</v>
      </c>
      <c r="L293" s="33" t="s">
        <v>14</v>
      </c>
      <c r="M293" s="34" t="e">
        <f t="shared" si="39"/>
        <v>#DIV/0!</v>
      </c>
      <c r="N293" s="27"/>
      <c r="O293" s="34" t="e">
        <f t="shared" si="41"/>
        <v>#DIV/0!</v>
      </c>
      <c r="P293" s="35" t="e">
        <f t="shared" si="38"/>
        <v>#VALUE!</v>
      </c>
      <c r="Q293" s="34" t="e">
        <f t="shared" si="40"/>
        <v>#DIV/0!</v>
      </c>
      <c r="R293" s="35"/>
    </row>
    <row r="294" spans="1:18" x14ac:dyDescent="0.3">
      <c r="A294" s="37" t="s">
        <v>77</v>
      </c>
      <c r="B294" s="33" t="s">
        <v>97</v>
      </c>
      <c r="C294" s="34">
        <v>1596</v>
      </c>
      <c r="D294" s="33">
        <v>80</v>
      </c>
      <c r="E294" s="33">
        <v>339.1</v>
      </c>
      <c r="F294" s="33">
        <v>1440</v>
      </c>
      <c r="G294" s="34">
        <v>183.1</v>
      </c>
      <c r="H294" s="34">
        <v>0</v>
      </c>
      <c r="I294" s="34">
        <v>1779.1</v>
      </c>
      <c r="J294" s="34">
        <v>328.85</v>
      </c>
      <c r="K294" s="34">
        <v>2107.9499999999998</v>
      </c>
      <c r="L294" s="33">
        <v>100164</v>
      </c>
      <c r="M294" s="34" t="e">
        <f t="shared" si="39"/>
        <v>#DIV/0!</v>
      </c>
      <c r="N294" s="27"/>
      <c r="O294" s="34" t="e">
        <f t="shared" si="41"/>
        <v>#DIV/0!</v>
      </c>
      <c r="P294" s="35" t="e">
        <f t="shared" si="38"/>
        <v>#VALUE!</v>
      </c>
      <c r="Q294" s="34" t="e">
        <f t="shared" si="40"/>
        <v>#DIV/0!</v>
      </c>
      <c r="R294" s="35"/>
    </row>
    <row r="295" spans="1:18" x14ac:dyDescent="0.3">
      <c r="A295" s="37" t="s">
        <v>77</v>
      </c>
      <c r="B295" s="33" t="s">
        <v>97</v>
      </c>
      <c r="C295" s="34">
        <v>2121</v>
      </c>
      <c r="D295" s="33">
        <v>80</v>
      </c>
      <c r="E295" s="33">
        <v>1221.24</v>
      </c>
      <c r="F295" s="33">
        <v>1440</v>
      </c>
      <c r="G295" s="34">
        <v>540.24</v>
      </c>
      <c r="H295" s="34">
        <v>0</v>
      </c>
      <c r="I295" s="34">
        <v>2661.24</v>
      </c>
      <c r="J295" s="34">
        <v>412.29</v>
      </c>
      <c r="K295" s="34">
        <v>3073.53</v>
      </c>
      <c r="L295" s="33" t="s">
        <v>14</v>
      </c>
      <c r="M295" s="34" t="e">
        <f t="shared" si="39"/>
        <v>#DIV/0!</v>
      </c>
      <c r="N295" s="27"/>
      <c r="O295" s="34" t="e">
        <f t="shared" si="41"/>
        <v>#DIV/0!</v>
      </c>
      <c r="P295" s="35" t="e">
        <f t="shared" si="38"/>
        <v>#VALUE!</v>
      </c>
      <c r="Q295" s="34" t="e">
        <f t="shared" si="40"/>
        <v>#DIV/0!</v>
      </c>
      <c r="R295" s="35"/>
    </row>
    <row r="296" spans="1:18" x14ac:dyDescent="0.3">
      <c r="A296" s="32">
        <v>43553</v>
      </c>
      <c r="B296" s="33" t="s">
        <v>97</v>
      </c>
      <c r="C296" s="34">
        <v>1344</v>
      </c>
      <c r="D296" s="36">
        <v>14</v>
      </c>
      <c r="E296" s="33">
        <v>464.59</v>
      </c>
      <c r="F296" s="33">
        <v>1152</v>
      </c>
      <c r="G296" s="34">
        <v>272.58999999999997</v>
      </c>
      <c r="H296" s="34">
        <v>0</v>
      </c>
      <c r="I296" s="34">
        <v>1616.59</v>
      </c>
      <c r="J296" s="34">
        <v>281.36</v>
      </c>
      <c r="K296" s="34">
        <v>1897.95</v>
      </c>
      <c r="L296" s="33" t="s">
        <v>14</v>
      </c>
      <c r="M296" s="34">
        <f t="shared" si="39"/>
        <v>115.47071428571428</v>
      </c>
      <c r="N296" s="41">
        <v>14</v>
      </c>
      <c r="O296" s="34">
        <v>0</v>
      </c>
      <c r="P296" s="35">
        <f t="shared" si="38"/>
        <v>0</v>
      </c>
      <c r="Q296" s="34">
        <f t="shared" si="40"/>
        <v>0</v>
      </c>
      <c r="R296" s="35"/>
    </row>
    <row r="297" spans="1:18" x14ac:dyDescent="0.3">
      <c r="A297" s="32">
        <v>43581</v>
      </c>
      <c r="B297" s="33" t="s">
        <v>97</v>
      </c>
      <c r="C297" s="34">
        <v>735</v>
      </c>
      <c r="D297" s="36">
        <v>35</v>
      </c>
      <c r="E297" s="33">
        <v>211.09</v>
      </c>
      <c r="F297" s="33">
        <v>630</v>
      </c>
      <c r="G297" s="34">
        <v>106.09</v>
      </c>
      <c r="H297" s="34">
        <v>0</v>
      </c>
      <c r="I297" s="34">
        <v>841.09</v>
      </c>
      <c r="J297" s="34">
        <v>148.37</v>
      </c>
      <c r="K297" s="34">
        <v>989.46</v>
      </c>
      <c r="L297" s="33" t="s">
        <v>14</v>
      </c>
      <c r="M297" s="34">
        <f t="shared" si="39"/>
        <v>24.031142857142857</v>
      </c>
      <c r="N297" s="27">
        <v>35</v>
      </c>
      <c r="O297" s="34">
        <v>0</v>
      </c>
      <c r="P297" s="35">
        <f t="shared" si="38"/>
        <v>0</v>
      </c>
      <c r="Q297" s="34">
        <f t="shared" si="40"/>
        <v>0</v>
      </c>
      <c r="R297" s="35"/>
    </row>
    <row r="298" spans="1:18" x14ac:dyDescent="0.3">
      <c r="A298" s="32">
        <v>43595</v>
      </c>
      <c r="B298" s="33" t="s">
        <v>97</v>
      </c>
      <c r="C298" s="34">
        <v>2488</v>
      </c>
      <c r="D298" s="36">
        <v>68.5</v>
      </c>
      <c r="E298" s="33">
        <v>2520.6799999999998</v>
      </c>
      <c r="F298" s="33">
        <v>630</v>
      </c>
      <c r="G298" s="34">
        <v>662.68</v>
      </c>
      <c r="H298" s="34">
        <v>0</v>
      </c>
      <c r="I298" s="34">
        <v>3150.68</v>
      </c>
      <c r="J298" s="34">
        <v>362.93</v>
      </c>
      <c r="K298" s="34">
        <v>3513.61</v>
      </c>
      <c r="L298" s="33" t="s">
        <v>14</v>
      </c>
      <c r="M298" s="34">
        <f t="shared" si="39"/>
        <v>45.995328467153286</v>
      </c>
      <c r="N298" s="27">
        <v>68.5</v>
      </c>
      <c r="O298" s="38">
        <f>(M298*0.5)*18.5</f>
        <v>425.45678832116789</v>
      </c>
      <c r="P298" s="35">
        <f t="shared" si="38"/>
        <v>68.069999999999993</v>
      </c>
      <c r="Q298" s="34">
        <f t="shared" si="40"/>
        <v>638.18518248175178</v>
      </c>
      <c r="R298" s="35"/>
    </row>
    <row r="299" spans="1:18" x14ac:dyDescent="0.3">
      <c r="A299" s="37" t="s">
        <v>77</v>
      </c>
      <c r="B299" s="33" t="s">
        <v>97</v>
      </c>
      <c r="C299" s="34">
        <v>2291</v>
      </c>
      <c r="D299" s="33">
        <v>80</v>
      </c>
      <c r="E299" s="33">
        <v>1535.07</v>
      </c>
      <c r="F299" s="33">
        <v>1440</v>
      </c>
      <c r="G299" s="34">
        <v>634.07000000000005</v>
      </c>
      <c r="H299" s="34">
        <v>50</v>
      </c>
      <c r="I299" s="34">
        <v>2975.07</v>
      </c>
      <c r="J299" s="34">
        <v>436.92</v>
      </c>
      <c r="K299" s="34">
        <v>3411.99</v>
      </c>
      <c r="L299" s="33" t="s">
        <v>14</v>
      </c>
      <c r="M299" s="34" t="e">
        <f t="shared" si="39"/>
        <v>#DIV/0!</v>
      </c>
      <c r="N299" s="27"/>
      <c r="O299" s="34" t="e">
        <f>((N299-80)*M299)*0.5</f>
        <v>#DIV/0!</v>
      </c>
      <c r="P299" s="35" t="e">
        <f t="shared" si="38"/>
        <v>#VALUE!</v>
      </c>
      <c r="Q299" s="34" t="e">
        <f t="shared" si="40"/>
        <v>#DIV/0!</v>
      </c>
      <c r="R299" s="35"/>
    </row>
    <row r="300" spans="1:18" x14ac:dyDescent="0.3">
      <c r="A300" s="37" t="s">
        <v>77</v>
      </c>
      <c r="B300" s="33" t="s">
        <v>97</v>
      </c>
      <c r="C300" s="34">
        <v>1933</v>
      </c>
      <c r="D300" s="33">
        <v>80</v>
      </c>
      <c r="E300" s="33">
        <v>995.81</v>
      </c>
      <c r="F300" s="33">
        <v>1440</v>
      </c>
      <c r="G300" s="34">
        <v>472.81</v>
      </c>
      <c r="H300" s="34">
        <v>30</v>
      </c>
      <c r="I300" s="34">
        <v>2435.81</v>
      </c>
      <c r="J300" s="34">
        <v>386.83</v>
      </c>
      <c r="K300" s="34">
        <v>2822.64</v>
      </c>
      <c r="L300" s="33" t="s">
        <v>14</v>
      </c>
      <c r="M300" s="34" t="e">
        <f t="shared" si="39"/>
        <v>#DIV/0!</v>
      </c>
      <c r="N300" s="27"/>
      <c r="O300" s="34" t="e">
        <f>((N300-80)*M300)*0.5</f>
        <v>#DIV/0!</v>
      </c>
      <c r="P300" s="35" t="e">
        <f t="shared" si="38"/>
        <v>#VALUE!</v>
      </c>
      <c r="Q300" s="34" t="e">
        <f t="shared" si="40"/>
        <v>#DIV/0!</v>
      </c>
      <c r="R300" s="35"/>
    </row>
    <row r="301" spans="1:18" x14ac:dyDescent="0.3">
      <c r="A301" s="32">
        <v>43637</v>
      </c>
      <c r="B301" s="33" t="s">
        <v>97</v>
      </c>
      <c r="C301" s="34">
        <v>2206</v>
      </c>
      <c r="D301" s="36">
        <v>50</v>
      </c>
      <c r="E301" s="33">
        <v>1111.94</v>
      </c>
      <c r="F301" s="33">
        <v>1440</v>
      </c>
      <c r="G301" s="34">
        <v>325.94</v>
      </c>
      <c r="H301" s="34">
        <v>20</v>
      </c>
      <c r="I301" s="34">
        <v>2551.94</v>
      </c>
      <c r="J301" s="34">
        <v>397.61</v>
      </c>
      <c r="K301" s="34">
        <v>2949.55</v>
      </c>
      <c r="L301" s="33" t="s">
        <v>14</v>
      </c>
      <c r="M301" s="34">
        <f t="shared" si="39"/>
        <v>43.99896551724138</v>
      </c>
      <c r="N301" s="27">
        <v>58</v>
      </c>
      <c r="O301" s="38">
        <f>(M301*0.5)*10</f>
        <v>219.9948275862069</v>
      </c>
      <c r="P301" s="35">
        <f t="shared" si="38"/>
        <v>30.8</v>
      </c>
      <c r="Q301" s="34">
        <f t="shared" si="40"/>
        <v>329.99224137931037</v>
      </c>
      <c r="R301" s="35"/>
    </row>
    <row r="302" spans="1:18" x14ac:dyDescent="0.3">
      <c r="A302" s="32">
        <v>43651</v>
      </c>
      <c r="B302" s="33" t="s">
        <v>97</v>
      </c>
      <c r="C302" s="34">
        <v>1765</v>
      </c>
      <c r="D302" s="33">
        <v>80</v>
      </c>
      <c r="E302" s="33">
        <v>425.5</v>
      </c>
      <c r="F302" s="33">
        <v>1600</v>
      </c>
      <c r="G302" s="34">
        <v>230.5</v>
      </c>
      <c r="H302" s="34">
        <v>30</v>
      </c>
      <c r="I302" s="34">
        <v>2025.5</v>
      </c>
      <c r="J302" s="34">
        <v>348.72</v>
      </c>
      <c r="K302" s="34">
        <v>2374.2199999999998</v>
      </c>
      <c r="L302" s="33" t="s">
        <v>14</v>
      </c>
      <c r="M302" s="34">
        <f t="shared" si="39"/>
        <v>23.690058479532162</v>
      </c>
      <c r="N302" s="27">
        <v>85.5</v>
      </c>
      <c r="O302" s="34">
        <f>((N302-80)*M302)*0.5</f>
        <v>65.147660818713447</v>
      </c>
      <c r="P302" s="35">
        <f t="shared" si="38"/>
        <v>9.1199999999999992</v>
      </c>
      <c r="Q302" s="34">
        <f t="shared" si="40"/>
        <v>97.721491228070164</v>
      </c>
      <c r="R302" s="35"/>
    </row>
    <row r="303" spans="1:18" x14ac:dyDescent="0.3">
      <c r="A303" s="32">
        <v>43665</v>
      </c>
      <c r="B303" s="33" t="s">
        <v>97</v>
      </c>
      <c r="C303" s="34">
        <v>1279</v>
      </c>
      <c r="D303" s="36">
        <v>64</v>
      </c>
      <c r="E303" s="33">
        <v>161.46</v>
      </c>
      <c r="F303" s="33">
        <v>1344</v>
      </c>
      <c r="G303" s="34">
        <v>161.46</v>
      </c>
      <c r="H303" s="34">
        <v>65</v>
      </c>
      <c r="I303" s="34">
        <v>1505.46</v>
      </c>
      <c r="J303" s="34">
        <v>300.39</v>
      </c>
      <c r="K303" s="34">
        <v>1805.85</v>
      </c>
      <c r="L303" s="33" t="s">
        <v>14</v>
      </c>
      <c r="M303" s="34">
        <f t="shared" si="39"/>
        <v>23.522812500000001</v>
      </c>
      <c r="N303" s="27">
        <v>64</v>
      </c>
      <c r="O303" s="34">
        <v>0</v>
      </c>
      <c r="P303" s="35">
        <f t="shared" si="38"/>
        <v>0</v>
      </c>
      <c r="Q303" s="34">
        <f t="shared" si="40"/>
        <v>0</v>
      </c>
      <c r="R303" s="35"/>
    </row>
    <row r="304" spans="1:18" x14ac:dyDescent="0.3">
      <c r="A304" s="32">
        <v>43679</v>
      </c>
      <c r="B304" s="33" t="s">
        <v>97</v>
      </c>
      <c r="C304" s="34">
        <v>2123</v>
      </c>
      <c r="D304" s="33">
        <v>80</v>
      </c>
      <c r="E304" s="33">
        <v>312.87</v>
      </c>
      <c r="F304" s="33">
        <v>2173</v>
      </c>
      <c r="G304" s="34">
        <v>312.92</v>
      </c>
      <c r="H304" s="34">
        <v>49.95</v>
      </c>
      <c r="I304" s="34">
        <v>2485.87</v>
      </c>
      <c r="J304" s="34">
        <v>391.48</v>
      </c>
      <c r="K304" s="34">
        <v>2877.35</v>
      </c>
      <c r="L304" s="33" t="s">
        <v>14</v>
      </c>
      <c r="M304" s="34">
        <f t="shared" si="39"/>
        <v>24.01806763285024</v>
      </c>
      <c r="N304" s="27">
        <v>103.5</v>
      </c>
      <c r="O304" s="34">
        <f>((N304-80)*M304)*0.5</f>
        <v>282.21229468599034</v>
      </c>
      <c r="P304" s="35">
        <f t="shared" si="38"/>
        <v>36.69</v>
      </c>
      <c r="Q304" s="34">
        <f t="shared" si="40"/>
        <v>423.31844202898549</v>
      </c>
      <c r="R304" s="35"/>
    </row>
    <row r="305" spans="1:18" x14ac:dyDescent="0.3">
      <c r="A305" s="32">
        <v>43693</v>
      </c>
      <c r="B305" s="33" t="s">
        <v>97</v>
      </c>
      <c r="C305" s="34">
        <v>2102</v>
      </c>
      <c r="D305" s="33">
        <v>80</v>
      </c>
      <c r="E305" s="33">
        <v>308.35000000000002</v>
      </c>
      <c r="F305" s="33">
        <v>2152</v>
      </c>
      <c r="G305" s="34">
        <v>308.35000000000002</v>
      </c>
      <c r="H305" s="34">
        <v>50</v>
      </c>
      <c r="I305" s="34">
        <v>2460.35</v>
      </c>
      <c r="J305" s="34">
        <v>389.11</v>
      </c>
      <c r="K305" s="34">
        <v>2849.46</v>
      </c>
      <c r="L305" s="33" t="s">
        <v>14</v>
      </c>
      <c r="M305" s="34">
        <f t="shared" si="39"/>
        <v>24.003414634146342</v>
      </c>
      <c r="N305" s="27">
        <v>102.5</v>
      </c>
      <c r="O305" s="34">
        <f>((N305-80)*M305)*0.5</f>
        <v>270.03841463414636</v>
      </c>
      <c r="P305" s="35">
        <f t="shared" ref="P305:P332" si="42">ROUND(((ROUNDDOWN(($T$1-A305)/30,0))/100)*O305,2)</f>
        <v>32.4</v>
      </c>
      <c r="Q305" s="34">
        <f t="shared" si="40"/>
        <v>405.05762195121952</v>
      </c>
      <c r="R305" s="35"/>
    </row>
    <row r="306" spans="1:18" x14ac:dyDescent="0.3">
      <c r="A306" s="32">
        <v>43707</v>
      </c>
      <c r="B306" s="33" t="s">
        <v>97</v>
      </c>
      <c r="C306" s="34">
        <v>2333</v>
      </c>
      <c r="D306" s="33">
        <v>80</v>
      </c>
      <c r="E306" s="33">
        <v>364.94</v>
      </c>
      <c r="F306" s="33">
        <v>2383</v>
      </c>
      <c r="G306" s="34">
        <v>364.94</v>
      </c>
      <c r="H306" s="34">
        <v>50</v>
      </c>
      <c r="I306" s="34">
        <v>2747.94</v>
      </c>
      <c r="J306" s="34">
        <v>415.82</v>
      </c>
      <c r="K306" s="34">
        <v>3163.76</v>
      </c>
      <c r="L306" s="33" t="s">
        <v>14</v>
      </c>
      <c r="M306" s="34">
        <f t="shared" si="39"/>
        <v>24.210925110132159</v>
      </c>
      <c r="N306" s="27">
        <v>113.5</v>
      </c>
      <c r="O306" s="34">
        <f>((N306-80)*M306)*0.5</f>
        <v>405.53299559471367</v>
      </c>
      <c r="P306" s="35">
        <f t="shared" si="42"/>
        <v>48.66</v>
      </c>
      <c r="Q306" s="34">
        <f t="shared" si="40"/>
        <v>608.29949339207053</v>
      </c>
      <c r="R306" s="35"/>
    </row>
    <row r="307" spans="1:18" x14ac:dyDescent="0.3">
      <c r="A307" s="32">
        <v>43721</v>
      </c>
      <c r="B307" s="33" t="s">
        <v>97</v>
      </c>
      <c r="C307" s="34">
        <v>1848</v>
      </c>
      <c r="D307" s="36">
        <v>50</v>
      </c>
      <c r="E307" s="33">
        <v>242.07</v>
      </c>
      <c r="F307" s="33">
        <v>1848</v>
      </c>
      <c r="G307" s="34">
        <v>242.07</v>
      </c>
      <c r="H307" s="34">
        <v>0</v>
      </c>
      <c r="I307" s="34">
        <v>2090.0700000000002</v>
      </c>
      <c r="J307" s="34">
        <v>354.72</v>
      </c>
      <c r="K307" s="34">
        <v>2444.79</v>
      </c>
      <c r="L307" s="33" t="s">
        <v>14</v>
      </c>
      <c r="M307" s="34">
        <f t="shared" si="39"/>
        <v>23.483932584269663</v>
      </c>
      <c r="N307" s="27">
        <v>89</v>
      </c>
      <c r="O307" s="38">
        <f>(M307*0.5)*10</f>
        <v>117.41966292134832</v>
      </c>
      <c r="P307" s="35">
        <f t="shared" si="42"/>
        <v>12.92</v>
      </c>
      <c r="Q307" s="34">
        <f t="shared" si="40"/>
        <v>176.12949438202247</v>
      </c>
      <c r="R307" s="35"/>
    </row>
    <row r="308" spans="1:18" x14ac:dyDescent="0.3">
      <c r="A308" s="32">
        <v>43735</v>
      </c>
      <c r="B308" s="33" t="s">
        <v>97</v>
      </c>
      <c r="C308" s="34">
        <v>1870</v>
      </c>
      <c r="D308" s="36">
        <v>47</v>
      </c>
      <c r="E308" s="33">
        <v>246.85</v>
      </c>
      <c r="F308" s="33">
        <v>1870</v>
      </c>
      <c r="G308" s="34">
        <v>246.85</v>
      </c>
      <c r="H308" s="34">
        <v>0</v>
      </c>
      <c r="I308" s="34">
        <v>2116.85</v>
      </c>
      <c r="J308" s="34">
        <v>357.18</v>
      </c>
      <c r="K308" s="34">
        <v>2474.0300000000002</v>
      </c>
      <c r="L308" s="33" t="s">
        <v>14</v>
      </c>
      <c r="M308" s="34">
        <f t="shared" si="39"/>
        <v>24.904117647058822</v>
      </c>
      <c r="N308" s="27">
        <v>85</v>
      </c>
      <c r="O308" s="38">
        <f>(M308*0.5)*7</f>
        <v>87.164411764705875</v>
      </c>
      <c r="P308" s="35">
        <f t="shared" si="42"/>
        <v>9.59</v>
      </c>
      <c r="Q308" s="34">
        <f t="shared" si="40"/>
        <v>130.74661764705883</v>
      </c>
      <c r="R308" s="35"/>
    </row>
    <row r="309" spans="1:18" x14ac:dyDescent="0.3">
      <c r="A309" s="32">
        <v>43749</v>
      </c>
      <c r="B309" s="33" t="s">
        <v>97</v>
      </c>
      <c r="C309" s="34">
        <v>1702</v>
      </c>
      <c r="D309" s="36">
        <v>55.5</v>
      </c>
      <c r="E309" s="33">
        <v>227.66</v>
      </c>
      <c r="F309" s="33">
        <v>1782</v>
      </c>
      <c r="G309" s="34">
        <v>227.66</v>
      </c>
      <c r="H309" s="34">
        <v>80</v>
      </c>
      <c r="I309" s="34">
        <v>2009.66</v>
      </c>
      <c r="J309" s="34">
        <v>347.24</v>
      </c>
      <c r="K309" s="34">
        <v>2356.9</v>
      </c>
      <c r="L309" s="33" t="s">
        <v>14</v>
      </c>
      <c r="M309" s="34">
        <f t="shared" si="39"/>
        <v>24.658404907975463</v>
      </c>
      <c r="N309" s="27">
        <v>81.5</v>
      </c>
      <c r="O309" s="38">
        <f>(M309*0.5)*15.5</f>
        <v>191.10263803680985</v>
      </c>
      <c r="P309" s="35">
        <f t="shared" si="42"/>
        <v>19.11</v>
      </c>
      <c r="Q309" s="34">
        <f t="shared" si="40"/>
        <v>286.65395705521479</v>
      </c>
      <c r="R309" s="35"/>
    </row>
    <row r="310" spans="1:18" x14ac:dyDescent="0.3">
      <c r="A310" s="32">
        <v>43763</v>
      </c>
      <c r="B310" s="33" t="s">
        <v>97</v>
      </c>
      <c r="C310" s="34">
        <v>2008</v>
      </c>
      <c r="D310" s="33">
        <v>80</v>
      </c>
      <c r="E310" s="33">
        <v>287.86</v>
      </c>
      <c r="F310" s="33">
        <v>2058</v>
      </c>
      <c r="G310" s="34">
        <v>287.86</v>
      </c>
      <c r="H310" s="34">
        <v>50</v>
      </c>
      <c r="I310" s="34">
        <v>2345.86</v>
      </c>
      <c r="J310" s="34">
        <v>378.47</v>
      </c>
      <c r="K310" s="34">
        <v>2724.33</v>
      </c>
      <c r="L310" s="33" t="s">
        <v>14</v>
      </c>
      <c r="M310" s="34">
        <f t="shared" si="39"/>
        <v>26.210726256983243</v>
      </c>
      <c r="N310" s="27">
        <v>89.5</v>
      </c>
      <c r="O310" s="34">
        <f>((N310-80)*M310)*0.5</f>
        <v>124.50094972067041</v>
      </c>
      <c r="P310" s="35">
        <f t="shared" si="42"/>
        <v>12.45</v>
      </c>
      <c r="Q310" s="34">
        <f t="shared" si="40"/>
        <v>186.75142458100561</v>
      </c>
      <c r="R310" s="35"/>
    </row>
    <row r="311" spans="1:18" x14ac:dyDescent="0.3">
      <c r="A311" s="32">
        <v>43777</v>
      </c>
      <c r="B311" s="33" t="s">
        <v>97</v>
      </c>
      <c r="C311" s="34">
        <v>2169</v>
      </c>
      <c r="D311" s="33">
        <v>80</v>
      </c>
      <c r="E311" s="33">
        <v>324</v>
      </c>
      <c r="F311" s="33">
        <v>2219</v>
      </c>
      <c r="G311" s="34">
        <v>324.2</v>
      </c>
      <c r="H311" s="34">
        <v>50</v>
      </c>
      <c r="I311" s="34">
        <v>2543.1999999999998</v>
      </c>
      <c r="J311" s="34">
        <v>396.81</v>
      </c>
      <c r="K311" s="34">
        <v>2940.01</v>
      </c>
      <c r="L311" s="33" t="s">
        <v>14</v>
      </c>
      <c r="M311" s="34">
        <f t="shared" si="39"/>
        <v>26.352331606217618</v>
      </c>
      <c r="N311" s="27">
        <v>96.5</v>
      </c>
      <c r="O311" s="34">
        <f>((N311-80)*M311)*0.5</f>
        <v>217.40673575129534</v>
      </c>
      <c r="P311" s="35">
        <f t="shared" si="42"/>
        <v>19.57</v>
      </c>
      <c r="Q311" s="34">
        <f t="shared" si="40"/>
        <v>326.11010362694299</v>
      </c>
      <c r="R311" s="35"/>
    </row>
    <row r="312" spans="1:18" x14ac:dyDescent="0.3">
      <c r="A312" s="32">
        <v>43791</v>
      </c>
      <c r="B312" s="33" t="s">
        <v>97</v>
      </c>
      <c r="C312" s="34">
        <v>440</v>
      </c>
      <c r="D312" s="36">
        <v>20</v>
      </c>
      <c r="E312" s="33">
        <v>49.29</v>
      </c>
      <c r="F312" s="33">
        <v>440</v>
      </c>
      <c r="G312" s="34">
        <v>49.29</v>
      </c>
      <c r="H312" s="34">
        <v>0</v>
      </c>
      <c r="I312" s="34">
        <v>489.29</v>
      </c>
      <c r="J312" s="34">
        <v>85.59</v>
      </c>
      <c r="K312" s="34">
        <v>574.88</v>
      </c>
      <c r="L312" s="33" t="s">
        <v>14</v>
      </c>
      <c r="M312" s="34">
        <f t="shared" si="39"/>
        <v>24.464500000000001</v>
      </c>
      <c r="N312" s="27">
        <v>20</v>
      </c>
      <c r="O312" s="34">
        <v>0</v>
      </c>
      <c r="P312" s="35">
        <f t="shared" si="42"/>
        <v>0</v>
      </c>
      <c r="Q312" s="34">
        <f t="shared" si="40"/>
        <v>0</v>
      </c>
      <c r="R312" s="35"/>
    </row>
    <row r="313" spans="1:18" x14ac:dyDescent="0.3">
      <c r="A313" s="37">
        <v>43869</v>
      </c>
      <c r="B313" s="36" t="s">
        <v>98</v>
      </c>
      <c r="C313" s="34"/>
      <c r="D313" s="31">
        <v>78</v>
      </c>
      <c r="E313" s="33"/>
      <c r="F313" s="33"/>
      <c r="G313" s="34"/>
      <c r="H313" s="34"/>
      <c r="I313" s="34"/>
      <c r="J313" s="34"/>
      <c r="K313" s="34"/>
      <c r="L313" s="33"/>
      <c r="M313" s="34"/>
      <c r="N313" s="27"/>
      <c r="O313" s="34"/>
      <c r="P313" s="35">
        <f t="shared" si="42"/>
        <v>0</v>
      </c>
      <c r="Q313" s="34"/>
      <c r="R313" s="35"/>
    </row>
    <row r="314" spans="1:18" x14ac:dyDescent="0.3">
      <c r="A314" s="37">
        <v>43883</v>
      </c>
      <c r="B314" s="36" t="s">
        <v>98</v>
      </c>
      <c r="C314" s="34"/>
      <c r="D314" s="31">
        <v>49.5</v>
      </c>
      <c r="E314" s="33"/>
      <c r="F314" s="33"/>
      <c r="G314" s="34"/>
      <c r="H314" s="34"/>
      <c r="I314" s="34"/>
      <c r="J314" s="34"/>
      <c r="K314" s="34"/>
      <c r="L314" s="33"/>
      <c r="M314" s="34"/>
      <c r="N314" s="27"/>
      <c r="O314" s="34"/>
      <c r="P314" s="35">
        <f t="shared" si="42"/>
        <v>0</v>
      </c>
      <c r="Q314" s="34"/>
      <c r="R314" s="35"/>
    </row>
    <row r="315" spans="1:18" x14ac:dyDescent="0.3">
      <c r="A315" s="37">
        <v>43897</v>
      </c>
      <c r="B315" s="36" t="s">
        <v>98</v>
      </c>
      <c r="C315" s="34"/>
      <c r="D315" s="31">
        <v>92</v>
      </c>
      <c r="E315" s="33"/>
      <c r="F315" s="33"/>
      <c r="G315" s="34"/>
      <c r="H315" s="34"/>
      <c r="I315" s="34"/>
      <c r="J315" s="34"/>
      <c r="K315" s="34"/>
      <c r="L315" s="33"/>
      <c r="M315" s="34"/>
      <c r="N315" s="27"/>
      <c r="O315" s="34"/>
      <c r="P315" s="35">
        <f t="shared" si="42"/>
        <v>0</v>
      </c>
      <c r="Q315" s="34"/>
      <c r="R315" s="35"/>
    </row>
    <row r="316" spans="1:18" x14ac:dyDescent="0.3">
      <c r="A316" s="37">
        <v>43910</v>
      </c>
      <c r="B316" s="36" t="s">
        <v>98</v>
      </c>
      <c r="C316" s="34"/>
      <c r="D316" s="31">
        <v>79.5</v>
      </c>
      <c r="E316" s="33"/>
      <c r="F316" s="33"/>
      <c r="G316" s="34"/>
      <c r="H316" s="34"/>
      <c r="I316" s="34"/>
      <c r="J316" s="34"/>
      <c r="K316" s="34"/>
      <c r="L316" s="33"/>
      <c r="M316" s="34"/>
      <c r="N316" s="27"/>
      <c r="O316" s="34"/>
      <c r="P316" s="35">
        <f t="shared" si="42"/>
        <v>0</v>
      </c>
      <c r="Q316" s="34"/>
      <c r="R316" s="35"/>
    </row>
    <row r="317" spans="1:18" x14ac:dyDescent="0.3">
      <c r="A317" s="37">
        <v>43911</v>
      </c>
      <c r="B317" s="36" t="s">
        <v>98</v>
      </c>
      <c r="C317" s="34"/>
      <c r="D317" s="31">
        <v>44.5</v>
      </c>
      <c r="E317" s="33"/>
      <c r="F317" s="33"/>
      <c r="G317" s="34"/>
      <c r="H317" s="34"/>
      <c r="I317" s="34"/>
      <c r="J317" s="34"/>
      <c r="K317" s="34"/>
      <c r="L317" s="33"/>
      <c r="M317" s="34"/>
      <c r="N317" s="27"/>
      <c r="O317" s="34"/>
      <c r="P317" s="35">
        <f t="shared" si="42"/>
        <v>0</v>
      </c>
      <c r="Q317" s="34"/>
      <c r="R317" s="35"/>
    </row>
    <row r="318" spans="1:18" x14ac:dyDescent="0.3">
      <c r="A318" s="37">
        <v>43915</v>
      </c>
      <c r="B318" s="36" t="s">
        <v>98</v>
      </c>
      <c r="C318" s="34"/>
      <c r="D318" s="31">
        <v>24</v>
      </c>
      <c r="E318" s="33"/>
      <c r="F318" s="33"/>
      <c r="G318" s="34"/>
      <c r="H318" s="34"/>
      <c r="I318" s="34"/>
      <c r="J318" s="34"/>
      <c r="K318" s="34"/>
      <c r="L318" s="33"/>
      <c r="M318" s="34"/>
      <c r="N318" s="27"/>
      <c r="O318" s="34"/>
      <c r="P318" s="35">
        <f t="shared" si="42"/>
        <v>0</v>
      </c>
      <c r="Q318" s="34"/>
      <c r="R318" s="35"/>
    </row>
    <row r="319" spans="1:18" x14ac:dyDescent="0.3">
      <c r="A319" s="37">
        <v>43967</v>
      </c>
      <c r="B319" s="36" t="s">
        <v>98</v>
      </c>
      <c r="C319" s="34"/>
      <c r="D319" s="31">
        <v>80</v>
      </c>
      <c r="E319" s="33"/>
      <c r="F319" s="33"/>
      <c r="G319" s="34"/>
      <c r="H319" s="34"/>
      <c r="I319" s="34"/>
      <c r="J319" s="34"/>
      <c r="K319" s="34"/>
      <c r="L319" s="33"/>
      <c r="M319" s="34"/>
      <c r="N319" s="27"/>
      <c r="O319" s="34"/>
      <c r="P319" s="35">
        <f t="shared" si="42"/>
        <v>0</v>
      </c>
      <c r="Q319" s="34"/>
      <c r="R319" s="35"/>
    </row>
    <row r="320" spans="1:18" x14ac:dyDescent="0.3">
      <c r="A320" s="37">
        <v>43981</v>
      </c>
      <c r="B320" s="36" t="s">
        <v>98</v>
      </c>
      <c r="C320" s="34"/>
      <c r="D320" s="31">
        <v>96.5</v>
      </c>
      <c r="E320" s="33"/>
      <c r="F320" s="33"/>
      <c r="G320" s="34"/>
      <c r="H320" s="34"/>
      <c r="I320" s="34"/>
      <c r="J320" s="34"/>
      <c r="K320" s="34"/>
      <c r="L320" s="33"/>
      <c r="M320" s="34"/>
      <c r="N320" s="27"/>
      <c r="O320" s="34"/>
      <c r="P320" s="35">
        <f t="shared" si="42"/>
        <v>0</v>
      </c>
      <c r="Q320" s="34"/>
      <c r="R320" s="35"/>
    </row>
    <row r="321" spans="1:18" x14ac:dyDescent="0.3">
      <c r="A321" s="37">
        <v>43995</v>
      </c>
      <c r="B321" s="36" t="s">
        <v>98</v>
      </c>
      <c r="C321" s="34"/>
      <c r="D321" s="31">
        <v>52</v>
      </c>
      <c r="E321" s="33"/>
      <c r="F321" s="33"/>
      <c r="G321" s="34"/>
      <c r="H321" s="34"/>
      <c r="I321" s="34"/>
      <c r="J321" s="34"/>
      <c r="K321" s="34"/>
      <c r="L321" s="33"/>
      <c r="M321" s="34"/>
      <c r="N321" s="27"/>
      <c r="O321" s="34"/>
      <c r="P321" s="35">
        <f t="shared" si="42"/>
        <v>0</v>
      </c>
      <c r="Q321" s="34"/>
      <c r="R321" s="35"/>
    </row>
    <row r="322" spans="1:18" x14ac:dyDescent="0.3">
      <c r="A322" s="37">
        <v>44023</v>
      </c>
      <c r="B322" s="36" t="s">
        <v>98</v>
      </c>
      <c r="C322" s="34"/>
      <c r="D322" s="31">
        <v>72</v>
      </c>
      <c r="E322" s="33"/>
      <c r="F322" s="33"/>
      <c r="G322" s="34"/>
      <c r="H322" s="34"/>
      <c r="I322" s="34"/>
      <c r="J322" s="34"/>
      <c r="K322" s="34"/>
      <c r="L322" s="33"/>
      <c r="M322" s="34"/>
      <c r="N322" s="27"/>
      <c r="O322" s="34"/>
      <c r="P322" s="35">
        <f t="shared" si="42"/>
        <v>0</v>
      </c>
      <c r="Q322" s="34"/>
      <c r="R322" s="35"/>
    </row>
    <row r="323" spans="1:18" x14ac:dyDescent="0.3">
      <c r="A323" s="32">
        <v>43729</v>
      </c>
      <c r="B323" s="33" t="s">
        <v>99</v>
      </c>
      <c r="C323" s="34"/>
      <c r="D323" s="31">
        <v>36</v>
      </c>
      <c r="E323" s="33"/>
      <c r="F323" s="33"/>
      <c r="G323" s="34"/>
      <c r="H323" s="34"/>
      <c r="I323" s="34"/>
      <c r="J323" s="34"/>
      <c r="K323" s="34"/>
      <c r="L323" s="33"/>
      <c r="M323" s="34"/>
      <c r="N323" s="27"/>
      <c r="O323" s="34"/>
      <c r="P323" s="35">
        <f t="shared" si="42"/>
        <v>0</v>
      </c>
      <c r="Q323" s="34"/>
      <c r="R323" s="35"/>
    </row>
    <row r="324" spans="1:18" x14ac:dyDescent="0.3">
      <c r="A324" s="32">
        <v>43749</v>
      </c>
      <c r="B324" s="33" t="s">
        <v>99</v>
      </c>
      <c r="C324" s="34">
        <v>1785</v>
      </c>
      <c r="D324" s="33">
        <v>80</v>
      </c>
      <c r="E324" s="33">
        <v>280.64999999999998</v>
      </c>
      <c r="F324" s="33">
        <v>2025</v>
      </c>
      <c r="G324" s="34">
        <v>280.64999999999998</v>
      </c>
      <c r="H324" s="34">
        <v>240</v>
      </c>
      <c r="I324" s="34">
        <v>2305.65</v>
      </c>
      <c r="J324" s="34">
        <v>388.56</v>
      </c>
      <c r="K324" s="34">
        <v>2694.21</v>
      </c>
      <c r="L324" s="33">
        <v>100185</v>
      </c>
      <c r="M324" s="34">
        <f t="shared" ref="M324:M332" si="43">(E324+F324)/N324</f>
        <v>20.494666666666667</v>
      </c>
      <c r="N324" s="27">
        <v>112.5</v>
      </c>
      <c r="O324" s="34">
        <f>((N324-80)*M324)*0.5</f>
        <v>333.03833333333336</v>
      </c>
      <c r="P324" s="35">
        <f t="shared" si="42"/>
        <v>33.299999999999997</v>
      </c>
      <c r="Q324" s="34">
        <f t="shared" ref="Q324:Q332" si="44">O324*1.5</f>
        <v>499.5575</v>
      </c>
      <c r="R324" s="35">
        <v>409.55</v>
      </c>
    </row>
    <row r="325" spans="1:18" x14ac:dyDescent="0.3">
      <c r="A325" s="32">
        <v>43763</v>
      </c>
      <c r="B325" s="33" t="s">
        <v>99</v>
      </c>
      <c r="C325" s="34">
        <v>1710</v>
      </c>
      <c r="D325" s="33">
        <v>80</v>
      </c>
      <c r="E325" s="33">
        <v>211.96</v>
      </c>
      <c r="F325" s="33">
        <v>1710</v>
      </c>
      <c r="G325" s="34">
        <v>211.96</v>
      </c>
      <c r="H325" s="34">
        <v>0</v>
      </c>
      <c r="I325" s="34">
        <v>1921.96</v>
      </c>
      <c r="J325" s="34">
        <v>350.63</v>
      </c>
      <c r="K325" s="34">
        <v>2272.59</v>
      </c>
      <c r="L325" s="33">
        <v>100186</v>
      </c>
      <c r="M325" s="34">
        <f t="shared" si="43"/>
        <v>20.231157894736842</v>
      </c>
      <c r="N325" s="27">
        <v>95</v>
      </c>
      <c r="O325" s="34">
        <f>((N325-80)*M325)*0.5</f>
        <v>151.73368421052632</v>
      </c>
      <c r="P325" s="35">
        <f t="shared" si="42"/>
        <v>15.17</v>
      </c>
      <c r="Q325" s="34">
        <f t="shared" si="44"/>
        <v>227.60052631578947</v>
      </c>
      <c r="R325" s="35"/>
    </row>
    <row r="326" spans="1:18" x14ac:dyDescent="0.3">
      <c r="A326" s="32">
        <v>43777</v>
      </c>
      <c r="B326" s="33" t="s">
        <v>99</v>
      </c>
      <c r="C326" s="34">
        <v>1958</v>
      </c>
      <c r="D326" s="33">
        <v>80</v>
      </c>
      <c r="E326" s="33">
        <v>266.05</v>
      </c>
      <c r="F326" s="33">
        <v>1958</v>
      </c>
      <c r="G326" s="34">
        <v>266.05</v>
      </c>
      <c r="H326" s="34">
        <v>0</v>
      </c>
      <c r="I326" s="34">
        <v>2224.0500000000002</v>
      </c>
      <c r="J326" s="34">
        <v>380.49</v>
      </c>
      <c r="K326" s="34">
        <v>2604.54</v>
      </c>
      <c r="L326" s="33" t="s">
        <v>14</v>
      </c>
      <c r="M326" s="34">
        <f t="shared" si="43"/>
        <v>21.181428571428572</v>
      </c>
      <c r="N326" s="27">
        <v>105</v>
      </c>
      <c r="O326" s="34">
        <f>((N326-80)*M326)*0.5</f>
        <v>264.76785714285717</v>
      </c>
      <c r="P326" s="35">
        <f t="shared" si="42"/>
        <v>23.83</v>
      </c>
      <c r="Q326" s="34">
        <f t="shared" si="44"/>
        <v>397.15178571428578</v>
      </c>
      <c r="R326" s="35"/>
    </row>
    <row r="327" spans="1:18" x14ac:dyDescent="0.3">
      <c r="A327" s="32">
        <v>43791</v>
      </c>
      <c r="B327" s="33" t="s">
        <v>99</v>
      </c>
      <c r="C327" s="34">
        <v>1862</v>
      </c>
      <c r="D327" s="33">
        <v>80</v>
      </c>
      <c r="E327" s="33">
        <v>245.11</v>
      </c>
      <c r="F327" s="33">
        <v>1862</v>
      </c>
      <c r="G327" s="34">
        <v>245.11</v>
      </c>
      <c r="H327" s="34">
        <v>0</v>
      </c>
      <c r="I327" s="34">
        <v>2107.11</v>
      </c>
      <c r="J327" s="34">
        <v>359.57</v>
      </c>
      <c r="K327" s="34">
        <v>2466.6799999999998</v>
      </c>
      <c r="L327" s="33" t="s">
        <v>14</v>
      </c>
      <c r="M327" s="34">
        <f t="shared" si="43"/>
        <v>21.501122448979594</v>
      </c>
      <c r="N327" s="27">
        <v>98</v>
      </c>
      <c r="O327" s="34">
        <f>((N327-80)*M327)*0.5</f>
        <v>193.51010204081635</v>
      </c>
      <c r="P327" s="35">
        <f t="shared" si="42"/>
        <v>17.420000000000002</v>
      </c>
      <c r="Q327" s="34">
        <f t="shared" si="44"/>
        <v>290.26515306122451</v>
      </c>
      <c r="R327" s="35"/>
    </row>
    <row r="328" spans="1:18" x14ac:dyDescent="0.3">
      <c r="A328" s="32">
        <v>43805</v>
      </c>
      <c r="B328" s="33" t="s">
        <v>99</v>
      </c>
      <c r="C328" s="34">
        <v>1282</v>
      </c>
      <c r="D328" s="36">
        <v>40.5</v>
      </c>
      <c r="E328" s="33">
        <v>156.16</v>
      </c>
      <c r="F328" s="33">
        <v>1282</v>
      </c>
      <c r="G328" s="34">
        <v>156.16</v>
      </c>
      <c r="H328" s="34">
        <v>0</v>
      </c>
      <c r="I328" s="34">
        <v>1438.16</v>
      </c>
      <c r="J328" s="34">
        <v>294.16000000000003</v>
      </c>
      <c r="K328" s="34">
        <v>1732.32</v>
      </c>
      <c r="L328" s="33" t="s">
        <v>14</v>
      </c>
      <c r="M328" s="34">
        <f t="shared" si="43"/>
        <v>21.306074074074075</v>
      </c>
      <c r="N328" s="27">
        <v>67.5</v>
      </c>
      <c r="O328" s="38">
        <f>(M328*0.5)*0.5</f>
        <v>5.3265185185185189</v>
      </c>
      <c r="P328" s="35">
        <f t="shared" si="42"/>
        <v>0.48</v>
      </c>
      <c r="Q328" s="34">
        <f t="shared" si="44"/>
        <v>7.9897777777777783</v>
      </c>
      <c r="R328" s="35"/>
    </row>
    <row r="329" spans="1:18" x14ac:dyDescent="0.3">
      <c r="A329" s="32">
        <v>43819</v>
      </c>
      <c r="B329" s="33" t="s">
        <v>99</v>
      </c>
      <c r="C329" s="34">
        <v>1700</v>
      </c>
      <c r="D329" s="33">
        <v>80</v>
      </c>
      <c r="E329" s="33">
        <v>209.78</v>
      </c>
      <c r="F329" s="33">
        <v>1700</v>
      </c>
      <c r="G329" s="34">
        <v>209.78</v>
      </c>
      <c r="H329" s="34">
        <v>0</v>
      </c>
      <c r="I329" s="34">
        <v>1909.78</v>
      </c>
      <c r="J329" s="34">
        <v>337.96</v>
      </c>
      <c r="K329" s="34">
        <v>2247.7399999999998</v>
      </c>
      <c r="L329" s="33" t="s">
        <v>14</v>
      </c>
      <c r="M329" s="34">
        <f t="shared" si="43"/>
        <v>21.33832402234637</v>
      </c>
      <c r="N329" s="27">
        <v>89.5</v>
      </c>
      <c r="O329" s="34">
        <f>((N329-80)*M329)*0.5</f>
        <v>101.35703910614527</v>
      </c>
      <c r="P329" s="35">
        <f t="shared" si="42"/>
        <v>8.11</v>
      </c>
      <c r="Q329" s="34">
        <f t="shared" si="44"/>
        <v>152.03555865921788</v>
      </c>
      <c r="R329" s="35"/>
    </row>
    <row r="330" spans="1:18" x14ac:dyDescent="0.3">
      <c r="A330" s="32">
        <v>43833</v>
      </c>
      <c r="B330" s="33" t="s">
        <v>99</v>
      </c>
      <c r="C330" s="34">
        <v>1662</v>
      </c>
      <c r="D330" s="36">
        <v>49.5</v>
      </c>
      <c r="E330" s="33">
        <v>197.28</v>
      </c>
      <c r="F330" s="33">
        <v>1662</v>
      </c>
      <c r="G330" s="34">
        <v>197.28</v>
      </c>
      <c r="H330" s="34">
        <v>0</v>
      </c>
      <c r="I330" s="34">
        <v>1859.28</v>
      </c>
      <c r="J330" s="34">
        <v>344.43</v>
      </c>
      <c r="K330" s="34">
        <v>2203.71</v>
      </c>
      <c r="L330" s="33" t="s">
        <v>14</v>
      </c>
      <c r="M330" s="34">
        <f t="shared" si="43"/>
        <v>21.248914285714285</v>
      </c>
      <c r="N330" s="27">
        <v>87.5</v>
      </c>
      <c r="O330" s="38">
        <f>(M330*0.5)*9.5</f>
        <v>100.93234285714286</v>
      </c>
      <c r="P330" s="35">
        <f t="shared" si="42"/>
        <v>8.07</v>
      </c>
      <c r="Q330" s="34">
        <f t="shared" si="44"/>
        <v>151.39851428571427</v>
      </c>
      <c r="R330" s="35"/>
    </row>
    <row r="331" spans="1:18" x14ac:dyDescent="0.3">
      <c r="A331" s="32">
        <v>43847</v>
      </c>
      <c r="B331" s="33" t="s">
        <v>99</v>
      </c>
      <c r="C331" s="34">
        <v>1073</v>
      </c>
      <c r="D331" s="36">
        <v>41.5</v>
      </c>
      <c r="E331" s="33"/>
      <c r="F331" s="33">
        <v>1073</v>
      </c>
      <c r="G331" s="34">
        <v>115.07</v>
      </c>
      <c r="H331" s="34">
        <v>0</v>
      </c>
      <c r="I331" s="34">
        <v>1188.07</v>
      </c>
      <c r="J331" s="34">
        <v>220.48</v>
      </c>
      <c r="K331" s="34">
        <v>1408.55</v>
      </c>
      <c r="L331" s="33" t="s">
        <v>14</v>
      </c>
      <c r="M331" s="34">
        <f t="shared" si="43"/>
        <v>18.991150442477878</v>
      </c>
      <c r="N331" s="27">
        <v>56.5</v>
      </c>
      <c r="O331" s="38">
        <f>(M331*0.5)*1.5</f>
        <v>14.243362831858409</v>
      </c>
      <c r="P331" s="35">
        <f t="shared" si="42"/>
        <v>1</v>
      </c>
      <c r="Q331" s="34">
        <f t="shared" si="44"/>
        <v>21.365044247787615</v>
      </c>
      <c r="R331" s="35"/>
    </row>
    <row r="332" spans="1:18" x14ac:dyDescent="0.3">
      <c r="A332" s="32">
        <v>43861</v>
      </c>
      <c r="B332" s="33" t="s">
        <v>99</v>
      </c>
      <c r="C332" s="34">
        <v>1786</v>
      </c>
      <c r="D332" s="33">
        <v>80</v>
      </c>
      <c r="E332" s="33"/>
      <c r="F332" s="33">
        <v>1786</v>
      </c>
      <c r="G332" s="34">
        <v>184.16</v>
      </c>
      <c r="H332" s="34">
        <v>0</v>
      </c>
      <c r="I332" s="34">
        <v>1970.16</v>
      </c>
      <c r="J332" s="34">
        <v>337.19</v>
      </c>
      <c r="K332" s="34">
        <v>2307.35</v>
      </c>
      <c r="L332" s="33" t="s">
        <v>14</v>
      </c>
      <c r="M332" s="34">
        <f t="shared" si="43"/>
        <v>19</v>
      </c>
      <c r="N332" s="27">
        <v>94</v>
      </c>
      <c r="O332" s="34">
        <f>((N332-80)*M332)*0.5</f>
        <v>133</v>
      </c>
      <c r="P332" s="35">
        <f t="shared" si="42"/>
        <v>9.31</v>
      </c>
      <c r="Q332" s="34">
        <f t="shared" si="44"/>
        <v>199.5</v>
      </c>
      <c r="R332" s="35"/>
    </row>
    <row r="333" spans="1:18" x14ac:dyDescent="0.3">
      <c r="A333" s="32">
        <v>43407</v>
      </c>
      <c r="B333" s="36" t="s">
        <v>100</v>
      </c>
      <c r="C333" s="34"/>
      <c r="D333" s="31">
        <v>47</v>
      </c>
      <c r="E333" s="33"/>
      <c r="F333" s="33"/>
      <c r="G333" s="34"/>
      <c r="H333" s="34"/>
      <c r="I333" s="34"/>
      <c r="J333" s="34"/>
      <c r="K333" s="34"/>
      <c r="L333" s="33"/>
      <c r="M333" s="34"/>
      <c r="N333" s="27"/>
      <c r="O333" s="34"/>
      <c r="P333" s="35"/>
      <c r="Q333" s="34"/>
      <c r="R333" s="35"/>
    </row>
    <row r="334" spans="1:18" x14ac:dyDescent="0.3">
      <c r="A334" s="32">
        <v>43427</v>
      </c>
      <c r="B334" s="33" t="s">
        <v>100</v>
      </c>
      <c r="C334" s="34">
        <v>2280</v>
      </c>
      <c r="D334" s="33">
        <v>80</v>
      </c>
      <c r="E334" s="33">
        <v>194.88</v>
      </c>
      <c r="F334" s="33">
        <v>2320</v>
      </c>
      <c r="G334" s="34">
        <v>234.88</v>
      </c>
      <c r="H334" s="34">
        <v>0</v>
      </c>
      <c r="I334" s="34">
        <v>2514.88</v>
      </c>
      <c r="J334" s="34">
        <v>413.54</v>
      </c>
      <c r="K334" s="34">
        <v>2928.42</v>
      </c>
      <c r="L334" s="33" t="s">
        <v>14</v>
      </c>
      <c r="M334" s="34">
        <f t="shared" ref="M334:M340" si="45">(E334+F334)/N334</f>
        <v>20.446178861788617</v>
      </c>
      <c r="N334" s="27">
        <v>123</v>
      </c>
      <c r="O334" s="34">
        <f>((N334-80)*M334)*0.5</f>
        <v>439.59284552845526</v>
      </c>
      <c r="P334" s="35">
        <f t="shared" ref="P334:P365" si="46">ROUND(((ROUNDDOWN(($T$1-A334)/30,0))/100)*O334,2)</f>
        <v>92.31</v>
      </c>
      <c r="Q334" s="34">
        <f t="shared" ref="Q334:Q340" si="47">O334*1.5</f>
        <v>659.38926829268291</v>
      </c>
      <c r="R334" s="35">
        <v>409.55</v>
      </c>
    </row>
    <row r="335" spans="1:18" x14ac:dyDescent="0.3">
      <c r="A335" s="32">
        <v>43441</v>
      </c>
      <c r="B335" s="33" t="s">
        <v>100</v>
      </c>
      <c r="C335" s="34">
        <v>1190</v>
      </c>
      <c r="D335" s="33">
        <v>70</v>
      </c>
      <c r="E335" s="33">
        <v>225.41</v>
      </c>
      <c r="F335" s="33">
        <v>1750</v>
      </c>
      <c r="G335" s="34">
        <v>435.41</v>
      </c>
      <c r="H335" s="34">
        <v>350</v>
      </c>
      <c r="I335" s="34">
        <v>1975.41</v>
      </c>
      <c r="J335" s="34">
        <v>339.2</v>
      </c>
      <c r="K335" s="34">
        <v>2314.61</v>
      </c>
      <c r="L335" s="33" t="s">
        <v>14</v>
      </c>
      <c r="M335" s="34">
        <f t="shared" si="45"/>
        <v>28.220142857142857</v>
      </c>
      <c r="N335" s="27">
        <v>70</v>
      </c>
      <c r="O335" s="38">
        <f>(M335*0.5)*15</f>
        <v>211.65107142857144</v>
      </c>
      <c r="P335" s="35">
        <f t="shared" si="46"/>
        <v>44.45</v>
      </c>
      <c r="Q335" s="34">
        <f t="shared" si="47"/>
        <v>317.47660714285718</v>
      </c>
      <c r="R335" s="35"/>
    </row>
    <row r="336" spans="1:18" x14ac:dyDescent="0.3">
      <c r="A336" s="32">
        <v>43455</v>
      </c>
      <c r="B336" s="33" t="s">
        <v>100</v>
      </c>
      <c r="C336" s="34">
        <v>1686</v>
      </c>
      <c r="D336" s="33">
        <v>80</v>
      </c>
      <c r="E336" s="33">
        <v>848.03</v>
      </c>
      <c r="F336" s="33">
        <v>2480</v>
      </c>
      <c r="G336" s="34">
        <v>842.03</v>
      </c>
      <c r="H336" s="34">
        <v>800</v>
      </c>
      <c r="I336" s="34">
        <v>3328.03</v>
      </c>
      <c r="J336" s="34">
        <v>490.44</v>
      </c>
      <c r="K336" s="34">
        <v>3818.47</v>
      </c>
      <c r="L336" s="33" t="s">
        <v>14</v>
      </c>
      <c r="M336" s="34">
        <f t="shared" si="45"/>
        <v>29.451592920353981</v>
      </c>
      <c r="N336" s="27">
        <v>113</v>
      </c>
      <c r="O336" s="34">
        <f>((N336-80)*M336)*0.5</f>
        <v>485.95128318584068</v>
      </c>
      <c r="P336" s="35">
        <f t="shared" si="46"/>
        <v>97.19</v>
      </c>
      <c r="Q336" s="34">
        <f t="shared" si="47"/>
        <v>728.92692477876108</v>
      </c>
      <c r="R336" s="35"/>
    </row>
    <row r="337" spans="1:18" x14ac:dyDescent="0.3">
      <c r="A337" s="32">
        <v>43469</v>
      </c>
      <c r="B337" s="33" t="s">
        <v>100</v>
      </c>
      <c r="C337" s="34">
        <v>1641</v>
      </c>
      <c r="D337" s="33">
        <v>80</v>
      </c>
      <c r="E337" s="33">
        <v>867.87</v>
      </c>
      <c r="F337" s="33">
        <v>1760</v>
      </c>
      <c r="G337" s="34">
        <v>636.87</v>
      </c>
      <c r="H337" s="34">
        <v>350</v>
      </c>
      <c r="I337" s="34">
        <v>2627.87</v>
      </c>
      <c r="J337" s="34">
        <v>424.91</v>
      </c>
      <c r="K337" s="34">
        <v>3052.78</v>
      </c>
      <c r="L337" s="33" t="s">
        <v>14</v>
      </c>
      <c r="M337" s="34">
        <f t="shared" si="45"/>
        <v>29.037237569060771</v>
      </c>
      <c r="N337" s="27">
        <v>90.5</v>
      </c>
      <c r="O337" s="34">
        <f>((N337-80)*M337)*0.5</f>
        <v>152.44549723756904</v>
      </c>
      <c r="P337" s="35">
        <f t="shared" si="46"/>
        <v>30.49</v>
      </c>
      <c r="Q337" s="34">
        <f t="shared" si="47"/>
        <v>228.66824585635356</v>
      </c>
      <c r="R337" s="35"/>
    </row>
    <row r="338" spans="1:18" x14ac:dyDescent="0.3">
      <c r="A338" s="32" t="s">
        <v>77</v>
      </c>
      <c r="B338" s="33" t="s">
        <v>100</v>
      </c>
      <c r="C338" s="34">
        <v>508.92</v>
      </c>
      <c r="D338" s="33">
        <v>0</v>
      </c>
      <c r="E338" s="33">
        <v>508.92</v>
      </c>
      <c r="F338" s="33"/>
      <c r="G338" s="34">
        <v>95.25</v>
      </c>
      <c r="H338" s="34">
        <v>0</v>
      </c>
      <c r="I338" s="34">
        <v>604.16999999999996</v>
      </c>
      <c r="J338" s="34">
        <v>60.77</v>
      </c>
      <c r="K338" s="34">
        <v>664.94</v>
      </c>
      <c r="L338" s="33" t="s">
        <v>14</v>
      </c>
      <c r="M338" s="34" t="e">
        <f t="shared" si="45"/>
        <v>#DIV/0!</v>
      </c>
      <c r="N338" s="27"/>
      <c r="O338" s="34" t="e">
        <f>((N338-80)*M338)*0.5</f>
        <v>#DIV/0!</v>
      </c>
      <c r="P338" s="35" t="e">
        <f t="shared" si="46"/>
        <v>#VALUE!</v>
      </c>
      <c r="Q338" s="34" t="e">
        <f t="shared" si="47"/>
        <v>#DIV/0!</v>
      </c>
      <c r="R338" s="35"/>
    </row>
    <row r="339" spans="1:18" x14ac:dyDescent="0.3">
      <c r="A339" s="32" t="s">
        <v>77</v>
      </c>
      <c r="B339" s="33" t="s">
        <v>100</v>
      </c>
      <c r="C339" s="34">
        <v>1191.08</v>
      </c>
      <c r="D339" s="33">
        <v>80</v>
      </c>
      <c r="E339" s="33">
        <v>440</v>
      </c>
      <c r="F339" s="33">
        <v>1760</v>
      </c>
      <c r="G339" s="34">
        <v>508.92</v>
      </c>
      <c r="H339" s="34">
        <v>500</v>
      </c>
      <c r="I339" s="34">
        <v>2200</v>
      </c>
      <c r="J339" s="34">
        <v>381.86</v>
      </c>
      <c r="K339" s="34">
        <v>2581.86</v>
      </c>
      <c r="L339" s="33" t="s">
        <v>14</v>
      </c>
      <c r="M339" s="34" t="e">
        <f t="shared" si="45"/>
        <v>#DIV/0!</v>
      </c>
      <c r="N339" s="27"/>
      <c r="O339" s="34" t="e">
        <f>((N339-80)*M339)*0.5</f>
        <v>#DIV/0!</v>
      </c>
      <c r="P339" s="35" t="e">
        <f t="shared" si="46"/>
        <v>#VALUE!</v>
      </c>
      <c r="Q339" s="34" t="e">
        <f t="shared" si="47"/>
        <v>#DIV/0!</v>
      </c>
      <c r="R339" s="35"/>
    </row>
    <row r="340" spans="1:18" x14ac:dyDescent="0.3">
      <c r="A340" s="32" t="s">
        <v>77</v>
      </c>
      <c r="B340" s="33" t="s">
        <v>100</v>
      </c>
      <c r="C340" s="34">
        <v>2352</v>
      </c>
      <c r="D340" s="33">
        <v>80</v>
      </c>
      <c r="E340" s="33">
        <v>1816.32</v>
      </c>
      <c r="F340" s="33">
        <v>1760</v>
      </c>
      <c r="G340" s="34">
        <v>924.32</v>
      </c>
      <c r="H340" s="34">
        <v>300</v>
      </c>
      <c r="I340" s="34">
        <v>3576.32</v>
      </c>
      <c r="J340" s="34">
        <v>508.28</v>
      </c>
      <c r="K340" s="34">
        <v>4084.6</v>
      </c>
      <c r="L340" s="33" t="s">
        <v>14</v>
      </c>
      <c r="M340" s="34" t="e">
        <f t="shared" si="45"/>
        <v>#DIV/0!</v>
      </c>
      <c r="N340" s="27"/>
      <c r="O340" s="34" t="e">
        <f>((N340-80)*M340)*0.5</f>
        <v>#DIV/0!</v>
      </c>
      <c r="P340" s="35" t="e">
        <f t="shared" si="46"/>
        <v>#VALUE!</v>
      </c>
      <c r="Q340" s="34" t="e">
        <f t="shared" si="47"/>
        <v>#DIV/0!</v>
      </c>
      <c r="R340" s="35"/>
    </row>
    <row r="341" spans="1:18" x14ac:dyDescent="0.3">
      <c r="A341" s="37">
        <v>43589</v>
      </c>
      <c r="B341" s="36" t="s">
        <v>102</v>
      </c>
      <c r="C341" s="34"/>
      <c r="D341" s="31">
        <v>60</v>
      </c>
      <c r="E341" s="33"/>
      <c r="F341" s="33"/>
      <c r="G341" s="34"/>
      <c r="H341" s="34"/>
      <c r="I341" s="34"/>
      <c r="J341" s="34"/>
      <c r="K341" s="34"/>
      <c r="L341" s="33"/>
      <c r="M341" s="34"/>
      <c r="N341" s="27"/>
      <c r="O341" s="34"/>
      <c r="P341" s="35">
        <f t="shared" si="46"/>
        <v>0</v>
      </c>
      <c r="Q341" s="34"/>
      <c r="R341" s="35"/>
    </row>
    <row r="342" spans="1:18" x14ac:dyDescent="0.3">
      <c r="A342" s="32">
        <v>43511</v>
      </c>
      <c r="B342" s="33" t="s">
        <v>101</v>
      </c>
      <c r="C342" s="34">
        <v>1717</v>
      </c>
      <c r="D342" s="33">
        <v>80</v>
      </c>
      <c r="E342" s="33">
        <v>193.48</v>
      </c>
      <c r="F342" s="33">
        <v>1717</v>
      </c>
      <c r="G342" s="34">
        <v>193.48</v>
      </c>
      <c r="H342" s="34">
        <v>0</v>
      </c>
      <c r="I342" s="34">
        <v>1910.48</v>
      </c>
      <c r="J342" s="34">
        <v>352.73</v>
      </c>
      <c r="K342" s="34">
        <v>2263.21</v>
      </c>
      <c r="L342" s="33">
        <v>100154</v>
      </c>
      <c r="M342" s="34">
        <f t="shared" ref="M342:M352" si="48">(E342+F342)/N342</f>
        <v>18.915643564356436</v>
      </c>
      <c r="N342" s="27">
        <v>101</v>
      </c>
      <c r="O342" s="34">
        <f>((N342-80)*M342)*0.5</f>
        <v>198.61425742574258</v>
      </c>
      <c r="P342" s="35">
        <f t="shared" si="46"/>
        <v>35.75</v>
      </c>
      <c r="Q342" s="34">
        <f t="shared" ref="Q342:Q352" si="49">O342*1.5</f>
        <v>297.92138613861385</v>
      </c>
      <c r="R342" s="35">
        <v>409.55</v>
      </c>
    </row>
    <row r="343" spans="1:18" x14ac:dyDescent="0.3">
      <c r="A343" s="32">
        <v>43525</v>
      </c>
      <c r="B343" s="33" t="s">
        <v>101</v>
      </c>
      <c r="C343" s="34">
        <v>1173</v>
      </c>
      <c r="D343" s="36">
        <v>69</v>
      </c>
      <c r="E343" s="33">
        <v>212.93</v>
      </c>
      <c r="F343" s="33">
        <v>1173</v>
      </c>
      <c r="G343" s="34">
        <v>212.93</v>
      </c>
      <c r="H343" s="34">
        <v>0</v>
      </c>
      <c r="I343" s="34">
        <v>1385.93</v>
      </c>
      <c r="J343" s="34">
        <v>299.98</v>
      </c>
      <c r="K343" s="34">
        <v>1685.91</v>
      </c>
      <c r="L343" s="33">
        <v>100156</v>
      </c>
      <c r="M343" s="34">
        <f t="shared" si="48"/>
        <v>20.085942028985507</v>
      </c>
      <c r="N343" s="27">
        <v>69</v>
      </c>
      <c r="O343" s="34">
        <v>0</v>
      </c>
      <c r="P343" s="35">
        <f t="shared" si="46"/>
        <v>0</v>
      </c>
      <c r="Q343" s="34">
        <f t="shared" si="49"/>
        <v>0</v>
      </c>
      <c r="R343" s="35"/>
    </row>
    <row r="344" spans="1:18" x14ac:dyDescent="0.3">
      <c r="A344" s="32">
        <v>43539</v>
      </c>
      <c r="B344" s="33" t="s">
        <v>101</v>
      </c>
      <c r="C344" s="34">
        <v>1589</v>
      </c>
      <c r="D344" s="33">
        <v>80</v>
      </c>
      <c r="E344" s="33">
        <v>312.87</v>
      </c>
      <c r="F344" s="33">
        <v>1589</v>
      </c>
      <c r="G344" s="34">
        <v>312.87</v>
      </c>
      <c r="H344" s="34">
        <v>0</v>
      </c>
      <c r="I344" s="34">
        <v>1901.87</v>
      </c>
      <c r="J344" s="34">
        <v>351.86</v>
      </c>
      <c r="K344" s="34">
        <v>2253.73</v>
      </c>
      <c r="L344" s="33" t="s">
        <v>14</v>
      </c>
      <c r="M344" s="34">
        <f t="shared" si="48"/>
        <v>20.340855614973261</v>
      </c>
      <c r="N344" s="27">
        <v>93.5</v>
      </c>
      <c r="O344" s="34">
        <f>((N344-80)*M344)*0.5</f>
        <v>137.3007754010695</v>
      </c>
      <c r="P344" s="35">
        <f t="shared" si="46"/>
        <v>23.34</v>
      </c>
      <c r="Q344" s="34">
        <f t="shared" si="49"/>
        <v>205.95116310160427</v>
      </c>
      <c r="R344" s="35"/>
    </row>
    <row r="345" spans="1:18" x14ac:dyDescent="0.3">
      <c r="A345" s="32">
        <v>43553</v>
      </c>
      <c r="B345" s="33" t="s">
        <v>101</v>
      </c>
      <c r="C345" s="34">
        <v>1598</v>
      </c>
      <c r="D345" s="33">
        <v>80</v>
      </c>
      <c r="E345" s="33">
        <v>315.12</v>
      </c>
      <c r="F345" s="33">
        <v>1598</v>
      </c>
      <c r="G345" s="34">
        <v>315.12</v>
      </c>
      <c r="H345" s="34">
        <v>0</v>
      </c>
      <c r="I345" s="34">
        <v>1913.12</v>
      </c>
      <c r="J345" s="34">
        <v>352.33</v>
      </c>
      <c r="K345" s="34">
        <v>2265.4499999999998</v>
      </c>
      <c r="L345" s="33" t="s">
        <v>14</v>
      </c>
      <c r="M345" s="34">
        <f t="shared" si="48"/>
        <v>21.74</v>
      </c>
      <c r="N345" s="27">
        <v>88</v>
      </c>
      <c r="O345" s="34">
        <f>((N345-80)*M345)*0.5</f>
        <v>86.96</v>
      </c>
      <c r="P345" s="35">
        <f t="shared" si="46"/>
        <v>14.78</v>
      </c>
      <c r="Q345" s="34">
        <f t="shared" si="49"/>
        <v>130.44</v>
      </c>
      <c r="R345" s="35"/>
    </row>
    <row r="346" spans="1:18" x14ac:dyDescent="0.3">
      <c r="A346" s="32">
        <v>43567</v>
      </c>
      <c r="B346" s="33" t="s">
        <v>101</v>
      </c>
      <c r="C346" s="34">
        <v>1496</v>
      </c>
      <c r="D346" s="33">
        <v>80</v>
      </c>
      <c r="E346" s="33">
        <v>289.75</v>
      </c>
      <c r="F346" s="33">
        <v>1496</v>
      </c>
      <c r="G346" s="34">
        <v>289.75</v>
      </c>
      <c r="H346" s="34">
        <v>0</v>
      </c>
      <c r="I346" s="34">
        <v>1785.75</v>
      </c>
      <c r="J346" s="34">
        <v>329.46</v>
      </c>
      <c r="K346" s="34">
        <v>2115.21</v>
      </c>
      <c r="L346" s="33" t="s">
        <v>14</v>
      </c>
      <c r="M346" s="34">
        <f t="shared" si="48"/>
        <v>20.292613636363637</v>
      </c>
      <c r="N346" s="27">
        <v>88</v>
      </c>
      <c r="O346" s="34">
        <f>((N346-80)*M346)*0.5</f>
        <v>81.170454545454547</v>
      </c>
      <c r="P346" s="35">
        <f t="shared" si="46"/>
        <v>12.99</v>
      </c>
      <c r="Q346" s="34">
        <f t="shared" si="49"/>
        <v>121.75568181818181</v>
      </c>
      <c r="R346" s="35"/>
    </row>
    <row r="347" spans="1:18" x14ac:dyDescent="0.3">
      <c r="A347" s="32">
        <v>43581</v>
      </c>
      <c r="B347" s="33" t="s">
        <v>101</v>
      </c>
      <c r="C347" s="34">
        <v>748</v>
      </c>
      <c r="D347" s="36">
        <v>44</v>
      </c>
      <c r="E347" s="33">
        <v>96.95</v>
      </c>
      <c r="F347" s="33">
        <v>748</v>
      </c>
      <c r="G347" s="34">
        <v>96.95</v>
      </c>
      <c r="H347" s="34">
        <v>0</v>
      </c>
      <c r="I347" s="34">
        <v>844.95</v>
      </c>
      <c r="J347" s="34">
        <v>166.79</v>
      </c>
      <c r="K347" s="34">
        <v>1011.74</v>
      </c>
      <c r="L347" s="33" t="s">
        <v>14</v>
      </c>
      <c r="M347" s="34">
        <f t="shared" si="48"/>
        <v>19.203409090909091</v>
      </c>
      <c r="N347" s="27">
        <v>44</v>
      </c>
      <c r="O347" s="38">
        <f>(M347*0.5)*4</f>
        <v>38.406818181818181</v>
      </c>
      <c r="P347" s="35">
        <f t="shared" si="46"/>
        <v>6.15</v>
      </c>
      <c r="Q347" s="34">
        <f t="shared" si="49"/>
        <v>57.610227272727272</v>
      </c>
      <c r="R347" s="35"/>
    </row>
    <row r="348" spans="1:18" x14ac:dyDescent="0.3">
      <c r="A348" s="37" t="s">
        <v>77</v>
      </c>
      <c r="B348" s="33" t="s">
        <v>101</v>
      </c>
      <c r="C348" s="34">
        <v>1020</v>
      </c>
      <c r="D348" s="33">
        <v>60</v>
      </c>
      <c r="E348" s="33">
        <v>166.62</v>
      </c>
      <c r="F348" s="33">
        <v>1020</v>
      </c>
      <c r="G348" s="34">
        <v>166.62</v>
      </c>
      <c r="H348" s="34">
        <v>0</v>
      </c>
      <c r="I348" s="34">
        <v>1186.6199999999999</v>
      </c>
      <c r="J348" s="34">
        <v>230.64</v>
      </c>
      <c r="K348" s="34">
        <v>1417.26</v>
      </c>
      <c r="L348" s="33" t="s">
        <v>14</v>
      </c>
      <c r="M348" s="34" t="e">
        <f t="shared" si="48"/>
        <v>#DIV/0!</v>
      </c>
      <c r="N348" s="27"/>
      <c r="O348" s="34" t="e">
        <f>((N348-80)*M348)*0.5</f>
        <v>#DIV/0!</v>
      </c>
      <c r="P348" s="35" t="e">
        <f t="shared" si="46"/>
        <v>#VALUE!</v>
      </c>
      <c r="Q348" s="34" t="e">
        <f t="shared" si="49"/>
        <v>#DIV/0!</v>
      </c>
      <c r="R348" s="35"/>
    </row>
    <row r="349" spans="1:18" x14ac:dyDescent="0.3">
      <c r="A349" s="32">
        <v>43609</v>
      </c>
      <c r="B349" s="33" t="s">
        <v>101</v>
      </c>
      <c r="C349" s="34">
        <v>1666</v>
      </c>
      <c r="D349" s="33">
        <v>80</v>
      </c>
      <c r="E349" s="33">
        <v>332</v>
      </c>
      <c r="F349" s="33">
        <v>1666</v>
      </c>
      <c r="G349" s="34">
        <v>332</v>
      </c>
      <c r="H349" s="34">
        <v>0</v>
      </c>
      <c r="I349" s="34">
        <v>1998</v>
      </c>
      <c r="J349" s="34">
        <v>346.16</v>
      </c>
      <c r="K349" s="34">
        <v>2344.16</v>
      </c>
      <c r="L349" s="33" t="s">
        <v>14</v>
      </c>
      <c r="M349" s="34">
        <f t="shared" si="48"/>
        <v>20.387755102040817</v>
      </c>
      <c r="N349" s="27">
        <v>98</v>
      </c>
      <c r="O349" s="34">
        <f>((N349-80)*M349)*0.5</f>
        <v>183.48979591836735</v>
      </c>
      <c r="P349" s="35">
        <f t="shared" si="46"/>
        <v>27.52</v>
      </c>
      <c r="Q349" s="34">
        <f t="shared" si="49"/>
        <v>275.23469387755102</v>
      </c>
      <c r="R349" s="35"/>
    </row>
    <row r="350" spans="1:18" x14ac:dyDescent="0.3">
      <c r="A350" s="32">
        <v>43623</v>
      </c>
      <c r="B350" s="33" t="s">
        <v>101</v>
      </c>
      <c r="C350" s="34">
        <v>1666</v>
      </c>
      <c r="D350" s="33">
        <v>80</v>
      </c>
      <c r="E350" s="33">
        <v>337.98</v>
      </c>
      <c r="F350" s="33">
        <v>1660</v>
      </c>
      <c r="G350" s="34">
        <v>331.98</v>
      </c>
      <c r="H350" s="34">
        <v>0</v>
      </c>
      <c r="I350" s="34">
        <v>1997.98</v>
      </c>
      <c r="J350" s="34">
        <v>346.15</v>
      </c>
      <c r="K350" s="34">
        <v>2344.13</v>
      </c>
      <c r="L350" s="33" t="s">
        <v>14</v>
      </c>
      <c r="M350" s="34">
        <f t="shared" si="48"/>
        <v>20.387551020408164</v>
      </c>
      <c r="N350" s="27">
        <v>98</v>
      </c>
      <c r="O350" s="34">
        <f>((N350-80)*M350)*0.5</f>
        <v>183.48795918367347</v>
      </c>
      <c r="P350" s="35">
        <f t="shared" si="46"/>
        <v>27.52</v>
      </c>
      <c r="Q350" s="34">
        <f t="shared" si="49"/>
        <v>275.23193877551023</v>
      </c>
      <c r="R350" s="35"/>
    </row>
    <row r="351" spans="1:18" x14ac:dyDescent="0.3">
      <c r="A351" s="32">
        <v>43637</v>
      </c>
      <c r="B351" s="33" t="s">
        <v>101</v>
      </c>
      <c r="C351" s="34">
        <v>2201</v>
      </c>
      <c r="D351" s="33">
        <v>80</v>
      </c>
      <c r="E351" s="33">
        <v>319.74</v>
      </c>
      <c r="F351" s="33">
        <v>2201</v>
      </c>
      <c r="G351" s="34">
        <v>319.74</v>
      </c>
      <c r="H351" s="34">
        <v>0</v>
      </c>
      <c r="I351" s="34">
        <v>2520.7399999999998</v>
      </c>
      <c r="J351" s="34">
        <v>394.71</v>
      </c>
      <c r="K351" s="34">
        <v>2915.45</v>
      </c>
      <c r="L351" s="33" t="s">
        <v>14</v>
      </c>
      <c r="M351" s="34">
        <f t="shared" si="48"/>
        <v>19.465173745173743</v>
      </c>
      <c r="N351" s="27">
        <v>129.5</v>
      </c>
      <c r="O351" s="34">
        <f>((N351-80)*M351)*0.5</f>
        <v>481.76305019305016</v>
      </c>
      <c r="P351" s="35">
        <f t="shared" si="46"/>
        <v>67.45</v>
      </c>
      <c r="Q351" s="34">
        <f t="shared" si="49"/>
        <v>722.64457528957519</v>
      </c>
      <c r="R351" s="35"/>
    </row>
    <row r="352" spans="1:18" x14ac:dyDescent="0.3">
      <c r="A352" s="32">
        <v>43651</v>
      </c>
      <c r="B352" s="33" t="s">
        <v>101</v>
      </c>
      <c r="C352" s="34">
        <v>2014</v>
      </c>
      <c r="D352" s="36">
        <v>57.5</v>
      </c>
      <c r="E352" s="33">
        <v>218.96</v>
      </c>
      <c r="F352" s="33">
        <v>2014</v>
      </c>
      <c r="G352" s="34">
        <v>218.96</v>
      </c>
      <c r="H352" s="34">
        <v>0</v>
      </c>
      <c r="I352" s="34">
        <v>2232.96</v>
      </c>
      <c r="J352" s="34">
        <v>367.98</v>
      </c>
      <c r="K352" s="34">
        <v>2600.94</v>
      </c>
      <c r="L352" s="33" t="s">
        <v>14</v>
      </c>
      <c r="M352" s="34">
        <f t="shared" si="48"/>
        <v>23.629206349206349</v>
      </c>
      <c r="N352" s="27">
        <v>94.5</v>
      </c>
      <c r="O352" s="38">
        <f>(M352*0.5)*17.5</f>
        <v>206.75555555555556</v>
      </c>
      <c r="P352" s="35">
        <f t="shared" si="46"/>
        <v>28.95</v>
      </c>
      <c r="Q352" s="34">
        <f t="shared" si="49"/>
        <v>310.13333333333333</v>
      </c>
      <c r="R352" s="35"/>
    </row>
    <row r="353" spans="1:18" x14ac:dyDescent="0.3">
      <c r="A353" s="32">
        <v>43652</v>
      </c>
      <c r="B353" s="33" t="s">
        <v>101</v>
      </c>
      <c r="C353" s="34"/>
      <c r="D353" s="31">
        <v>52.5</v>
      </c>
      <c r="E353" s="33"/>
      <c r="F353" s="33"/>
      <c r="G353" s="34"/>
      <c r="H353" s="34"/>
      <c r="I353" s="34"/>
      <c r="J353" s="34"/>
      <c r="K353" s="34"/>
      <c r="L353" s="33"/>
      <c r="M353" s="34"/>
      <c r="N353" s="27"/>
      <c r="O353" s="34"/>
      <c r="P353" s="35">
        <f t="shared" si="46"/>
        <v>0</v>
      </c>
      <c r="Q353" s="34"/>
      <c r="R353" s="35"/>
    </row>
    <row r="354" spans="1:18" x14ac:dyDescent="0.3">
      <c r="A354" s="32">
        <v>43665</v>
      </c>
      <c r="B354" s="33" t="s">
        <v>101</v>
      </c>
      <c r="C354" s="34">
        <v>1632</v>
      </c>
      <c r="D354" s="36">
        <v>43.5</v>
      </c>
      <c r="E354" s="33">
        <v>194.95</v>
      </c>
      <c r="F354" s="33">
        <v>1632</v>
      </c>
      <c r="G354" s="34">
        <v>194.95</v>
      </c>
      <c r="H354" s="34">
        <v>0</v>
      </c>
      <c r="I354" s="34">
        <v>1826.95</v>
      </c>
      <c r="J354" s="34">
        <v>330.27</v>
      </c>
      <c r="K354" s="34">
        <v>2157.2199999999998</v>
      </c>
      <c r="L354" s="33" t="s">
        <v>14</v>
      </c>
      <c r="M354" s="34">
        <f>(E354+F354)/N354</f>
        <v>41.998850574712648</v>
      </c>
      <c r="N354" s="27">
        <v>43.5</v>
      </c>
      <c r="O354" s="34">
        <v>0</v>
      </c>
      <c r="P354" s="35">
        <f t="shared" si="46"/>
        <v>0</v>
      </c>
      <c r="Q354" s="34">
        <f t="shared" ref="Q354:Q363" si="50">O354*1.5</f>
        <v>0</v>
      </c>
      <c r="R354" s="35"/>
    </row>
    <row r="355" spans="1:18" x14ac:dyDescent="0.3">
      <c r="A355" s="32">
        <v>43679</v>
      </c>
      <c r="B355" s="33" t="s">
        <v>101</v>
      </c>
      <c r="C355" s="34">
        <v>646</v>
      </c>
      <c r="D355" s="33">
        <v>80</v>
      </c>
      <c r="E355" s="33">
        <v>101.54</v>
      </c>
      <c r="F355" s="33">
        <v>646</v>
      </c>
      <c r="G355" s="34">
        <v>101.57</v>
      </c>
      <c r="H355" s="34">
        <v>-0.03</v>
      </c>
      <c r="I355" s="34">
        <v>747.54</v>
      </c>
      <c r="J355" s="34">
        <v>229.99</v>
      </c>
      <c r="K355" s="34">
        <v>977.53</v>
      </c>
      <c r="L355" s="33">
        <v>100180</v>
      </c>
      <c r="M355" s="38">
        <v>16</v>
      </c>
      <c r="N355" s="27">
        <v>124</v>
      </c>
      <c r="O355" s="34">
        <f>((N355-80)*M355)*0.5</f>
        <v>352</v>
      </c>
      <c r="P355" s="35">
        <f t="shared" si="46"/>
        <v>45.76</v>
      </c>
      <c r="Q355" s="34">
        <f t="shared" si="50"/>
        <v>528</v>
      </c>
      <c r="R355" s="35"/>
    </row>
    <row r="356" spans="1:18" x14ac:dyDescent="0.3">
      <c r="A356" s="32">
        <v>43693</v>
      </c>
      <c r="B356" s="33" t="s">
        <v>101</v>
      </c>
      <c r="C356" s="34">
        <v>918</v>
      </c>
      <c r="D356" s="33">
        <v>51</v>
      </c>
      <c r="E356" s="33">
        <v>108.19</v>
      </c>
      <c r="F356" s="33">
        <v>918</v>
      </c>
      <c r="G356" s="34">
        <v>108.19</v>
      </c>
      <c r="H356" s="34">
        <v>0</v>
      </c>
      <c r="I356" s="34">
        <v>1026.19</v>
      </c>
      <c r="J356" s="34">
        <v>197.67</v>
      </c>
      <c r="K356" s="34">
        <v>1223.8599999999999</v>
      </c>
      <c r="L356" s="33" t="s">
        <v>14</v>
      </c>
      <c r="M356" s="38">
        <v>16</v>
      </c>
      <c r="N356" s="27">
        <v>125.5</v>
      </c>
      <c r="O356" s="34">
        <f>((N356-80)*M356)*0.5</f>
        <v>364</v>
      </c>
      <c r="P356" s="35">
        <f t="shared" si="46"/>
        <v>43.68</v>
      </c>
      <c r="Q356" s="34">
        <f t="shared" si="50"/>
        <v>546</v>
      </c>
      <c r="R356" s="35"/>
    </row>
    <row r="357" spans="1:18" x14ac:dyDescent="0.3">
      <c r="A357" s="32">
        <v>43707</v>
      </c>
      <c r="B357" s="33" t="s">
        <v>101</v>
      </c>
      <c r="C357" s="34">
        <v>2178</v>
      </c>
      <c r="D357" s="33">
        <v>80</v>
      </c>
      <c r="E357" s="33">
        <v>314.02</v>
      </c>
      <c r="F357" s="33">
        <v>2178</v>
      </c>
      <c r="G357" s="34">
        <v>314.02</v>
      </c>
      <c r="H357" s="34">
        <v>0</v>
      </c>
      <c r="I357" s="34">
        <v>2492.02</v>
      </c>
      <c r="J357" s="34">
        <v>392.06</v>
      </c>
      <c r="K357" s="34">
        <v>2884.08</v>
      </c>
      <c r="L357" s="33" t="s">
        <v>14</v>
      </c>
      <c r="M357" s="34">
        <f t="shared" ref="M357:M363" si="51">(E357+F357)/N357</f>
        <v>18.189927007299271</v>
      </c>
      <c r="N357" s="27">
        <v>137</v>
      </c>
      <c r="O357" s="34">
        <f>((N357-80)*M357)*0.5</f>
        <v>518.41291970802922</v>
      </c>
      <c r="P357" s="35">
        <f t="shared" si="46"/>
        <v>62.21</v>
      </c>
      <c r="Q357" s="34">
        <f t="shared" si="50"/>
        <v>777.61937956204383</v>
      </c>
      <c r="R357" s="35"/>
    </row>
    <row r="358" spans="1:18" x14ac:dyDescent="0.3">
      <c r="A358" s="32">
        <v>43721</v>
      </c>
      <c r="B358" s="33" t="s">
        <v>101</v>
      </c>
      <c r="C358" s="34">
        <v>1602</v>
      </c>
      <c r="D358" s="36">
        <v>55</v>
      </c>
      <c r="E358" s="33">
        <v>188.41</v>
      </c>
      <c r="F358" s="33">
        <v>1602</v>
      </c>
      <c r="G358" s="34">
        <v>188.41</v>
      </c>
      <c r="H358" s="34">
        <v>0</v>
      </c>
      <c r="I358" s="34">
        <v>1790.41</v>
      </c>
      <c r="J358" s="34">
        <v>326.86</v>
      </c>
      <c r="K358" s="34">
        <v>2117.27</v>
      </c>
      <c r="L358" s="33" t="s">
        <v>14</v>
      </c>
      <c r="M358" s="34">
        <f t="shared" si="51"/>
        <v>20.004581005586594</v>
      </c>
      <c r="N358" s="27">
        <v>89.5</v>
      </c>
      <c r="O358" s="38">
        <f>(M358*0.5)*15</f>
        <v>150.03435754189945</v>
      </c>
      <c r="P358" s="35">
        <f t="shared" si="46"/>
        <v>16.5</v>
      </c>
      <c r="Q358" s="34">
        <f t="shared" si="50"/>
        <v>225.05153631284918</v>
      </c>
      <c r="R358" s="35"/>
    </row>
    <row r="359" spans="1:18" x14ac:dyDescent="0.3">
      <c r="A359" s="32">
        <v>43735</v>
      </c>
      <c r="B359" s="33" t="s">
        <v>101</v>
      </c>
      <c r="C359" s="34">
        <v>2268</v>
      </c>
      <c r="D359" s="33">
        <v>80</v>
      </c>
      <c r="E359" s="33">
        <v>336.4</v>
      </c>
      <c r="F359" s="33">
        <v>2268</v>
      </c>
      <c r="G359" s="34">
        <v>336.4</v>
      </c>
      <c r="H359" s="34">
        <v>0</v>
      </c>
      <c r="I359" s="34">
        <v>2604.4</v>
      </c>
      <c r="J359" s="34">
        <v>402.5</v>
      </c>
      <c r="K359" s="34">
        <v>3006.9</v>
      </c>
      <c r="L359" s="33" t="s">
        <v>14</v>
      </c>
      <c r="M359" s="34">
        <f t="shared" si="51"/>
        <v>20.669841269841271</v>
      </c>
      <c r="N359" s="27">
        <v>126</v>
      </c>
      <c r="O359" s="34">
        <f>((N359-80)*M359)*0.5</f>
        <v>475.4063492063492</v>
      </c>
      <c r="P359" s="35">
        <f t="shared" si="46"/>
        <v>52.29</v>
      </c>
      <c r="Q359" s="34">
        <f t="shared" si="50"/>
        <v>713.10952380952381</v>
      </c>
      <c r="R359" s="35"/>
    </row>
    <row r="360" spans="1:18" x14ac:dyDescent="0.3">
      <c r="A360" s="32">
        <v>43749</v>
      </c>
      <c r="B360" s="33" t="s">
        <v>101</v>
      </c>
      <c r="C360" s="34">
        <v>2241</v>
      </c>
      <c r="D360" s="33">
        <v>80</v>
      </c>
      <c r="E360" s="33">
        <v>329.66</v>
      </c>
      <c r="F360" s="33">
        <v>2241</v>
      </c>
      <c r="G360" s="34">
        <v>329.66</v>
      </c>
      <c r="H360" s="34">
        <v>0</v>
      </c>
      <c r="I360" s="34">
        <v>2570.66</v>
      </c>
      <c r="J360" s="34">
        <v>399.34</v>
      </c>
      <c r="K360" s="34">
        <v>2970</v>
      </c>
      <c r="L360" s="33" t="s">
        <v>14</v>
      </c>
      <c r="M360" s="34">
        <f t="shared" si="51"/>
        <v>20.647871485943774</v>
      </c>
      <c r="N360" s="27">
        <v>124.5</v>
      </c>
      <c r="O360" s="34">
        <f>((N360-80)*M360)*0.5</f>
        <v>459.41514056224901</v>
      </c>
      <c r="P360" s="35">
        <f t="shared" si="46"/>
        <v>45.94</v>
      </c>
      <c r="Q360" s="34">
        <f t="shared" si="50"/>
        <v>689.12271084337351</v>
      </c>
      <c r="R360" s="35"/>
    </row>
    <row r="361" spans="1:18" x14ac:dyDescent="0.3">
      <c r="A361" s="32">
        <v>43763</v>
      </c>
      <c r="B361" s="33" t="s">
        <v>101</v>
      </c>
      <c r="C361" s="34">
        <v>1638</v>
      </c>
      <c r="D361" s="33">
        <v>80</v>
      </c>
      <c r="E361" s="33">
        <v>196.26</v>
      </c>
      <c r="F361" s="33">
        <v>1638</v>
      </c>
      <c r="G361" s="34">
        <v>196.26</v>
      </c>
      <c r="H361" s="34">
        <v>0</v>
      </c>
      <c r="I361" s="34">
        <v>1834.26</v>
      </c>
      <c r="J361" s="34">
        <v>330.95</v>
      </c>
      <c r="K361" s="34">
        <v>2165.21</v>
      </c>
      <c r="L361" s="33" t="s">
        <v>14</v>
      </c>
      <c r="M361" s="34">
        <f t="shared" si="51"/>
        <v>19.206910994764399</v>
      </c>
      <c r="N361" s="27">
        <v>95.5</v>
      </c>
      <c r="O361" s="34">
        <f>((N361-80)*M361)*0.5</f>
        <v>148.8535602094241</v>
      </c>
      <c r="P361" s="35">
        <f t="shared" si="46"/>
        <v>14.89</v>
      </c>
      <c r="Q361" s="34">
        <f t="shared" si="50"/>
        <v>223.28034031413614</v>
      </c>
      <c r="R361" s="35"/>
    </row>
    <row r="362" spans="1:18" x14ac:dyDescent="0.3">
      <c r="A362" s="32">
        <v>43777</v>
      </c>
      <c r="B362" s="33" t="s">
        <v>101</v>
      </c>
      <c r="C362" s="34">
        <v>2169</v>
      </c>
      <c r="D362" s="33">
        <v>80</v>
      </c>
      <c r="E362" s="33">
        <v>312.06</v>
      </c>
      <c r="F362" s="33">
        <v>2169</v>
      </c>
      <c r="G362" s="34">
        <v>312.06</v>
      </c>
      <c r="H362" s="34">
        <v>0</v>
      </c>
      <c r="I362" s="34">
        <v>2481.06</v>
      </c>
      <c r="J362" s="34">
        <v>391.03</v>
      </c>
      <c r="K362" s="34">
        <v>2872.09</v>
      </c>
      <c r="L362" s="33" t="s">
        <v>14</v>
      </c>
      <c r="M362" s="34">
        <f t="shared" si="51"/>
        <v>20.589709543568464</v>
      </c>
      <c r="N362" s="27">
        <v>120.5</v>
      </c>
      <c r="O362" s="34">
        <f>((N362-80)*M362)*0.5</f>
        <v>416.94161825726138</v>
      </c>
      <c r="P362" s="35">
        <f t="shared" si="46"/>
        <v>37.520000000000003</v>
      </c>
      <c r="Q362" s="34">
        <f t="shared" si="50"/>
        <v>625.4124273858921</v>
      </c>
      <c r="R362" s="35"/>
    </row>
    <row r="363" spans="1:18" x14ac:dyDescent="0.3">
      <c r="A363" s="32">
        <v>43791</v>
      </c>
      <c r="B363" s="33" t="s">
        <v>101</v>
      </c>
      <c r="C363" s="34">
        <v>1531</v>
      </c>
      <c r="D363" s="36">
        <v>66.5</v>
      </c>
      <c r="E363" s="33">
        <v>177.52</v>
      </c>
      <c r="F363" s="33">
        <v>1531</v>
      </c>
      <c r="G363" s="34">
        <v>177.52</v>
      </c>
      <c r="H363" s="34">
        <v>0</v>
      </c>
      <c r="I363" s="34">
        <v>1708.52</v>
      </c>
      <c r="J363" s="34">
        <v>319.27</v>
      </c>
      <c r="K363" s="34">
        <v>2027.79</v>
      </c>
      <c r="L363" s="33" t="s">
        <v>14</v>
      </c>
      <c r="M363" s="34">
        <f t="shared" si="51"/>
        <v>19.089608938547485</v>
      </c>
      <c r="N363" s="27">
        <v>89.5</v>
      </c>
      <c r="O363" s="38">
        <f>(M363*0.5)*26.5</f>
        <v>252.93731843575418</v>
      </c>
      <c r="P363" s="35">
        <f t="shared" si="46"/>
        <v>22.76</v>
      </c>
      <c r="Q363" s="34">
        <f t="shared" si="50"/>
        <v>379.40597765363128</v>
      </c>
      <c r="R363" s="35"/>
    </row>
    <row r="364" spans="1:18" x14ac:dyDescent="0.3">
      <c r="A364" s="37">
        <v>44009</v>
      </c>
      <c r="B364" s="36" t="s">
        <v>103</v>
      </c>
      <c r="C364" s="34"/>
      <c r="D364" s="31">
        <v>88.5</v>
      </c>
      <c r="E364" s="33"/>
      <c r="F364" s="33"/>
      <c r="G364" s="34"/>
      <c r="H364" s="34"/>
      <c r="I364" s="34"/>
      <c r="J364" s="34"/>
      <c r="K364" s="34"/>
      <c r="L364" s="33"/>
      <c r="M364" s="34"/>
      <c r="N364" s="27"/>
      <c r="O364" s="34"/>
      <c r="P364" s="35">
        <f t="shared" si="46"/>
        <v>0</v>
      </c>
      <c r="Q364" s="34"/>
      <c r="R364" s="35"/>
    </row>
    <row r="365" spans="1:18" x14ac:dyDescent="0.3">
      <c r="A365" s="37">
        <v>44023</v>
      </c>
      <c r="B365" s="36" t="s">
        <v>103</v>
      </c>
      <c r="C365" s="34"/>
      <c r="D365" s="31">
        <v>80.5</v>
      </c>
      <c r="E365" s="33"/>
      <c r="F365" s="33"/>
      <c r="G365" s="34"/>
      <c r="H365" s="34"/>
      <c r="I365" s="34"/>
      <c r="J365" s="34"/>
      <c r="K365" s="34"/>
      <c r="L365" s="33"/>
      <c r="M365" s="34"/>
      <c r="N365" s="27"/>
      <c r="O365" s="34"/>
      <c r="P365" s="35">
        <f t="shared" si="46"/>
        <v>0</v>
      </c>
      <c r="Q365" s="34"/>
      <c r="R365" s="35"/>
    </row>
    <row r="366" spans="1:18" x14ac:dyDescent="0.3">
      <c r="A366" s="37" t="s">
        <v>77</v>
      </c>
      <c r="B366" s="33" t="s">
        <v>104</v>
      </c>
      <c r="C366" s="34">
        <v>1044</v>
      </c>
      <c r="D366" s="33">
        <v>80</v>
      </c>
      <c r="E366" s="33">
        <v>135.72</v>
      </c>
      <c r="F366" s="33">
        <v>1044</v>
      </c>
      <c r="G366" s="34">
        <v>135.72</v>
      </c>
      <c r="H366" s="34">
        <v>0</v>
      </c>
      <c r="I366" s="34">
        <v>1179.72</v>
      </c>
      <c r="J366" s="34">
        <v>277.22000000000003</v>
      </c>
      <c r="K366" s="34">
        <v>1456.94</v>
      </c>
      <c r="L366" s="33">
        <v>100188</v>
      </c>
      <c r="M366" s="34" t="e">
        <f t="shared" ref="M366:M375" si="52">(E366+F366)/N366</f>
        <v>#DIV/0!</v>
      </c>
      <c r="N366" s="27"/>
      <c r="O366" s="34" t="e">
        <f>((N366-80)*M366)*0.5</f>
        <v>#DIV/0!</v>
      </c>
      <c r="P366" s="35" t="e">
        <f t="shared" ref="P366:P397" si="53">ROUND(((ROUNDDOWN(($T$1-A366)/30,0))/100)*O366,2)</f>
        <v>#VALUE!</v>
      </c>
      <c r="Q366" s="34" t="e">
        <f t="shared" ref="Q366:Q375" si="54">O366*1.5</f>
        <v>#DIV/0!</v>
      </c>
      <c r="R366" s="35">
        <v>409.55</v>
      </c>
    </row>
    <row r="367" spans="1:18" x14ac:dyDescent="0.3">
      <c r="A367" s="32">
        <v>43791</v>
      </c>
      <c r="B367" s="33" t="s">
        <v>104</v>
      </c>
      <c r="C367" s="34">
        <v>2376</v>
      </c>
      <c r="D367" s="33">
        <v>80</v>
      </c>
      <c r="E367" s="33">
        <v>399</v>
      </c>
      <c r="F367" s="33">
        <v>2520</v>
      </c>
      <c r="G367" s="34">
        <v>399</v>
      </c>
      <c r="H367" s="34">
        <v>144</v>
      </c>
      <c r="I367" s="34">
        <v>2919</v>
      </c>
      <c r="J367" s="34">
        <v>449.22</v>
      </c>
      <c r="K367" s="34">
        <v>3368.22</v>
      </c>
      <c r="L367" s="33">
        <v>100189</v>
      </c>
      <c r="M367" s="34">
        <f t="shared" si="52"/>
        <v>20.85</v>
      </c>
      <c r="N367" s="27">
        <v>140</v>
      </c>
      <c r="O367" s="34">
        <f>((N367-80)*M367)*0.5</f>
        <v>625.5</v>
      </c>
      <c r="P367" s="35">
        <f t="shared" si="53"/>
        <v>56.3</v>
      </c>
      <c r="Q367" s="34">
        <f t="shared" si="54"/>
        <v>938.25</v>
      </c>
      <c r="R367" s="35"/>
    </row>
    <row r="368" spans="1:18" x14ac:dyDescent="0.3">
      <c r="A368" s="32">
        <v>43805</v>
      </c>
      <c r="B368" s="33" t="s">
        <v>104</v>
      </c>
      <c r="C368" s="34">
        <v>1845</v>
      </c>
      <c r="D368" s="36">
        <v>69</v>
      </c>
      <c r="E368" s="33">
        <v>241.41</v>
      </c>
      <c r="F368" s="33">
        <v>1845</v>
      </c>
      <c r="G368" s="34">
        <v>241.41</v>
      </c>
      <c r="H368" s="34">
        <v>0</v>
      </c>
      <c r="I368" s="34">
        <v>2086.41</v>
      </c>
      <c r="J368" s="34">
        <v>366.89</v>
      </c>
      <c r="K368" s="34">
        <v>2453.3000000000002</v>
      </c>
      <c r="L368" s="33" t="s">
        <v>14</v>
      </c>
      <c r="M368" s="34">
        <f t="shared" si="52"/>
        <v>20.35521951219512</v>
      </c>
      <c r="N368" s="27">
        <v>102.5</v>
      </c>
      <c r="O368" s="38">
        <f>(M368*0.5)*29</f>
        <v>295.15068292682923</v>
      </c>
      <c r="P368" s="35">
        <f t="shared" si="53"/>
        <v>26.56</v>
      </c>
      <c r="Q368" s="34">
        <f t="shared" si="54"/>
        <v>442.72602439024388</v>
      </c>
      <c r="R368" s="35"/>
    </row>
    <row r="369" spans="1:18" x14ac:dyDescent="0.3">
      <c r="A369" s="32">
        <v>43819</v>
      </c>
      <c r="B369" s="33" t="s">
        <v>104</v>
      </c>
      <c r="C369" s="34">
        <v>1530</v>
      </c>
      <c r="D369" s="36">
        <v>57.5</v>
      </c>
      <c r="E369" s="33">
        <v>177.43</v>
      </c>
      <c r="F369" s="33">
        <v>1530</v>
      </c>
      <c r="G369" s="34">
        <v>177.43</v>
      </c>
      <c r="H369" s="34">
        <v>0</v>
      </c>
      <c r="I369" s="34">
        <v>1707.43</v>
      </c>
      <c r="J369" s="34">
        <v>324.05</v>
      </c>
      <c r="K369" s="34">
        <v>2031.48</v>
      </c>
      <c r="L369" s="33" t="s">
        <v>14</v>
      </c>
      <c r="M369" s="34">
        <f t="shared" si="52"/>
        <v>20.087411764705884</v>
      </c>
      <c r="N369" s="27">
        <v>85</v>
      </c>
      <c r="O369" s="38">
        <f>(M369*0.5)*17.5</f>
        <v>175.76485294117649</v>
      </c>
      <c r="P369" s="35">
        <f t="shared" si="53"/>
        <v>14.06</v>
      </c>
      <c r="Q369" s="34">
        <f t="shared" si="54"/>
        <v>263.64727941176471</v>
      </c>
      <c r="R369" s="35"/>
    </row>
    <row r="370" spans="1:18" x14ac:dyDescent="0.3">
      <c r="A370" s="32">
        <v>43833</v>
      </c>
      <c r="B370" s="33" t="s">
        <v>104</v>
      </c>
      <c r="C370" s="34">
        <v>612</v>
      </c>
      <c r="D370" s="36">
        <v>34</v>
      </c>
      <c r="E370" s="33">
        <v>72.13</v>
      </c>
      <c r="F370" s="33">
        <v>612</v>
      </c>
      <c r="G370" s="34">
        <v>72.13</v>
      </c>
      <c r="H370" s="34">
        <v>0</v>
      </c>
      <c r="I370" s="34">
        <v>684.13</v>
      </c>
      <c r="J370" s="34">
        <v>135.88999999999999</v>
      </c>
      <c r="K370" s="34">
        <v>820.02</v>
      </c>
      <c r="L370" s="33" t="s">
        <v>14</v>
      </c>
      <c r="M370" s="34">
        <f t="shared" si="52"/>
        <v>20.121470588235294</v>
      </c>
      <c r="N370" s="27">
        <v>34</v>
      </c>
      <c r="O370" s="34">
        <v>0</v>
      </c>
      <c r="P370" s="35">
        <f t="shared" si="53"/>
        <v>0</v>
      </c>
      <c r="Q370" s="34">
        <f t="shared" si="54"/>
        <v>0</v>
      </c>
      <c r="R370" s="35"/>
    </row>
    <row r="371" spans="1:18" x14ac:dyDescent="0.3">
      <c r="A371" s="32">
        <v>43861</v>
      </c>
      <c r="B371" s="33" t="s">
        <v>104</v>
      </c>
      <c r="C371" s="34">
        <v>2428</v>
      </c>
      <c r="D371" s="36">
        <v>52.5</v>
      </c>
      <c r="E371" s="33"/>
      <c r="F371" s="36">
        <v>1440</v>
      </c>
      <c r="G371" s="34">
        <v>296.99</v>
      </c>
      <c r="H371" s="34">
        <v>12</v>
      </c>
      <c r="I371" s="34">
        <v>2736.99</v>
      </c>
      <c r="J371" s="34">
        <v>385.8</v>
      </c>
      <c r="K371" s="34">
        <v>3122.79</v>
      </c>
      <c r="L371" s="33" t="s">
        <v>14</v>
      </c>
      <c r="M371" s="34">
        <f t="shared" si="52"/>
        <v>20</v>
      </c>
      <c r="N371" s="27">
        <v>72</v>
      </c>
      <c r="O371" s="38">
        <f>(M371*0.5)*12.5</f>
        <v>125</v>
      </c>
      <c r="P371" s="35">
        <f t="shared" si="53"/>
        <v>8.75</v>
      </c>
      <c r="Q371" s="34">
        <f t="shared" si="54"/>
        <v>187.5</v>
      </c>
      <c r="R371" s="35"/>
    </row>
    <row r="372" spans="1:18" x14ac:dyDescent="0.3">
      <c r="A372" s="32">
        <v>43875</v>
      </c>
      <c r="B372" s="33" t="s">
        <v>104</v>
      </c>
      <c r="C372" s="34">
        <v>1895</v>
      </c>
      <c r="D372" s="36">
        <v>59.5</v>
      </c>
      <c r="E372" s="33"/>
      <c r="F372" s="33">
        <v>1930</v>
      </c>
      <c r="G372" s="34">
        <v>201.11</v>
      </c>
      <c r="H372" s="34">
        <v>35</v>
      </c>
      <c r="I372" s="34">
        <v>2131.11</v>
      </c>
      <c r="J372" s="34">
        <v>303.3</v>
      </c>
      <c r="K372" s="34">
        <v>2434.41</v>
      </c>
      <c r="L372" s="33" t="s">
        <v>14</v>
      </c>
      <c r="M372" s="34">
        <f t="shared" si="52"/>
        <v>20</v>
      </c>
      <c r="N372" s="27">
        <v>96.5</v>
      </c>
      <c r="O372" s="38">
        <f>(M372*0.5)*19.5</f>
        <v>195</v>
      </c>
      <c r="P372" s="35">
        <f t="shared" si="53"/>
        <v>11.7</v>
      </c>
      <c r="Q372" s="34">
        <f t="shared" si="54"/>
        <v>292.5</v>
      </c>
      <c r="R372" s="35"/>
    </row>
    <row r="373" spans="1:18" x14ac:dyDescent="0.3">
      <c r="A373" s="32">
        <v>43889</v>
      </c>
      <c r="B373" s="33" t="s">
        <v>104</v>
      </c>
      <c r="C373" s="34">
        <v>1710</v>
      </c>
      <c r="D373" s="33">
        <v>80</v>
      </c>
      <c r="E373" s="33"/>
      <c r="F373" s="33">
        <v>1710</v>
      </c>
      <c r="G373" s="34">
        <v>168.82</v>
      </c>
      <c r="H373" s="34">
        <v>0</v>
      </c>
      <c r="I373" s="34">
        <v>1878.82</v>
      </c>
      <c r="J373" s="34">
        <v>281.54000000000002</v>
      </c>
      <c r="K373" s="34">
        <v>2160.36</v>
      </c>
      <c r="L373" s="33" t="s">
        <v>14</v>
      </c>
      <c r="M373" s="34">
        <f t="shared" si="52"/>
        <v>20</v>
      </c>
      <c r="N373" s="27">
        <v>85.5</v>
      </c>
      <c r="O373" s="34">
        <f>((N373-80)*M373)*0.5</f>
        <v>55</v>
      </c>
      <c r="P373" s="35">
        <f t="shared" si="53"/>
        <v>3.3</v>
      </c>
      <c r="Q373" s="34">
        <f t="shared" si="54"/>
        <v>82.5</v>
      </c>
      <c r="R373" s="35"/>
    </row>
    <row r="374" spans="1:18" x14ac:dyDescent="0.3">
      <c r="A374" s="32">
        <v>43903</v>
      </c>
      <c r="B374" s="33" t="s">
        <v>104</v>
      </c>
      <c r="C374" s="34">
        <v>1700</v>
      </c>
      <c r="D374" s="33">
        <v>80</v>
      </c>
      <c r="E374" s="33"/>
      <c r="F374" s="33">
        <v>1700</v>
      </c>
      <c r="G374" s="34">
        <v>168.02</v>
      </c>
      <c r="H374" s="34">
        <v>0</v>
      </c>
      <c r="I374" s="34">
        <v>1868.02</v>
      </c>
      <c r="J374" s="34">
        <v>271.77</v>
      </c>
      <c r="K374" s="34">
        <v>2139.79</v>
      </c>
      <c r="L374" s="33" t="s">
        <v>14</v>
      </c>
      <c r="M374" s="34">
        <f t="shared" si="52"/>
        <v>20</v>
      </c>
      <c r="N374" s="27">
        <v>85</v>
      </c>
      <c r="O374" s="34">
        <f>((N374-80)*M374)*0.5</f>
        <v>50</v>
      </c>
      <c r="P374" s="35">
        <f t="shared" si="53"/>
        <v>2.5</v>
      </c>
      <c r="Q374" s="34">
        <f t="shared" si="54"/>
        <v>75</v>
      </c>
      <c r="R374" s="35"/>
    </row>
    <row r="375" spans="1:18" x14ac:dyDescent="0.3">
      <c r="A375" s="32">
        <v>43917</v>
      </c>
      <c r="B375" s="33" t="s">
        <v>104</v>
      </c>
      <c r="C375" s="34">
        <v>710.54</v>
      </c>
      <c r="D375" s="36">
        <v>31</v>
      </c>
      <c r="E375" s="33"/>
      <c r="F375" s="33">
        <v>787.5</v>
      </c>
      <c r="G375" s="34">
        <v>76.959999999999994</v>
      </c>
      <c r="H375" s="34">
        <v>0</v>
      </c>
      <c r="I375" s="34">
        <v>787.5</v>
      </c>
      <c r="J375" s="34">
        <v>122.34</v>
      </c>
      <c r="K375" s="34">
        <v>909.84</v>
      </c>
      <c r="L375" s="33" t="s">
        <v>14</v>
      </c>
      <c r="M375" s="34">
        <f t="shared" si="52"/>
        <v>22.5</v>
      </c>
      <c r="N375" s="27">
        <v>35</v>
      </c>
      <c r="O375" s="34">
        <v>0</v>
      </c>
      <c r="P375" s="35">
        <f t="shared" si="53"/>
        <v>0</v>
      </c>
      <c r="Q375" s="34">
        <f t="shared" si="54"/>
        <v>0</v>
      </c>
      <c r="R375" s="35"/>
    </row>
    <row r="376" spans="1:18" x14ac:dyDescent="0.3">
      <c r="A376" s="32">
        <v>43407</v>
      </c>
      <c r="B376" s="33" t="s">
        <v>105</v>
      </c>
      <c r="C376" s="34"/>
      <c r="D376" s="31">
        <v>47</v>
      </c>
      <c r="E376" s="33"/>
      <c r="F376" s="33"/>
      <c r="G376" s="34"/>
      <c r="H376" s="34"/>
      <c r="I376" s="34"/>
      <c r="J376" s="34"/>
      <c r="K376" s="34"/>
      <c r="L376" s="33"/>
      <c r="M376" s="34"/>
      <c r="N376" s="27"/>
      <c r="O376" s="34"/>
      <c r="P376" s="35">
        <f t="shared" si="53"/>
        <v>0</v>
      </c>
      <c r="Q376" s="34"/>
      <c r="R376" s="35"/>
    </row>
    <row r="377" spans="1:18" x14ac:dyDescent="0.3">
      <c r="A377" s="32">
        <v>43421</v>
      </c>
      <c r="B377" s="33" t="s">
        <v>105</v>
      </c>
      <c r="C377" s="34"/>
      <c r="D377" s="31">
        <v>125</v>
      </c>
      <c r="E377" s="33"/>
      <c r="F377" s="33"/>
      <c r="G377" s="34"/>
      <c r="H377" s="34"/>
      <c r="I377" s="34"/>
      <c r="J377" s="34"/>
      <c r="K377" s="34"/>
      <c r="L377" s="33"/>
      <c r="M377" s="34"/>
      <c r="N377" s="27"/>
      <c r="O377" s="34"/>
      <c r="P377" s="35">
        <f t="shared" si="53"/>
        <v>0</v>
      </c>
      <c r="Q377" s="34"/>
      <c r="R377" s="35"/>
    </row>
    <row r="378" spans="1:18" x14ac:dyDescent="0.3">
      <c r="A378" s="32">
        <v>43800</v>
      </c>
      <c r="B378" s="33" t="s">
        <v>105</v>
      </c>
      <c r="C378" s="34"/>
      <c r="D378" s="31">
        <v>61.5</v>
      </c>
      <c r="E378" s="33"/>
      <c r="F378" s="33"/>
      <c r="G378" s="34"/>
      <c r="H378" s="34"/>
      <c r="I378" s="34"/>
      <c r="J378" s="34"/>
      <c r="K378" s="34"/>
      <c r="L378" s="33"/>
      <c r="M378" s="34"/>
      <c r="N378" s="27"/>
      <c r="O378" s="34"/>
      <c r="P378" s="35">
        <f t="shared" si="53"/>
        <v>0</v>
      </c>
      <c r="Q378" s="34"/>
      <c r="R378" s="35"/>
    </row>
    <row r="379" spans="1:18" x14ac:dyDescent="0.3">
      <c r="A379" s="32">
        <v>43814</v>
      </c>
      <c r="B379" s="33" t="s">
        <v>105</v>
      </c>
      <c r="C379" s="34"/>
      <c r="D379" s="31">
        <v>121</v>
      </c>
      <c r="E379" s="33"/>
      <c r="F379" s="33"/>
      <c r="G379" s="34"/>
      <c r="H379" s="34"/>
      <c r="I379" s="34"/>
      <c r="J379" s="34"/>
      <c r="K379" s="34"/>
      <c r="L379" s="33"/>
      <c r="M379" s="34"/>
      <c r="N379" s="27"/>
      <c r="O379" s="34"/>
      <c r="P379" s="35">
        <f t="shared" si="53"/>
        <v>0</v>
      </c>
      <c r="Q379" s="34"/>
      <c r="R379" s="35"/>
    </row>
    <row r="380" spans="1:18" x14ac:dyDescent="0.3">
      <c r="A380" s="32">
        <v>43463</v>
      </c>
      <c r="B380" s="33" t="s">
        <v>105</v>
      </c>
      <c r="C380" s="34"/>
      <c r="D380" s="31">
        <v>87.5</v>
      </c>
      <c r="E380" s="33"/>
      <c r="F380" s="33"/>
      <c r="G380" s="34"/>
      <c r="H380" s="34"/>
      <c r="I380" s="34"/>
      <c r="J380" s="34"/>
      <c r="K380" s="34"/>
      <c r="L380" s="33"/>
      <c r="M380" s="34"/>
      <c r="N380" s="27"/>
      <c r="O380" s="34"/>
      <c r="P380" s="35">
        <f t="shared" si="53"/>
        <v>0</v>
      </c>
      <c r="Q380" s="34"/>
      <c r="R380" s="35"/>
    </row>
    <row r="381" spans="1:18" x14ac:dyDescent="0.3">
      <c r="A381" s="32">
        <v>43491</v>
      </c>
      <c r="B381" s="33" t="s">
        <v>105</v>
      </c>
      <c r="C381" s="34"/>
      <c r="D381" s="31">
        <v>121.5</v>
      </c>
      <c r="E381" s="33"/>
      <c r="F381" s="33"/>
      <c r="G381" s="34"/>
      <c r="H381" s="34"/>
      <c r="I381" s="34"/>
      <c r="J381" s="34"/>
      <c r="K381" s="34"/>
      <c r="L381" s="33"/>
      <c r="M381" s="34"/>
      <c r="N381" s="27"/>
      <c r="O381" s="34"/>
      <c r="P381" s="35">
        <f t="shared" si="53"/>
        <v>0</v>
      </c>
      <c r="Q381" s="34"/>
      <c r="R381" s="35"/>
    </row>
    <row r="382" spans="1:18" x14ac:dyDescent="0.3">
      <c r="A382" s="32">
        <v>43505</v>
      </c>
      <c r="B382" s="33" t="s">
        <v>105</v>
      </c>
      <c r="C382" s="34"/>
      <c r="D382" s="31">
        <v>28</v>
      </c>
      <c r="E382" s="33"/>
      <c r="F382" s="33"/>
      <c r="G382" s="34"/>
      <c r="H382" s="34"/>
      <c r="I382" s="34"/>
      <c r="J382" s="34"/>
      <c r="K382" s="34"/>
      <c r="L382" s="33"/>
      <c r="M382" s="34"/>
      <c r="N382" s="27"/>
      <c r="O382" s="34"/>
      <c r="P382" s="35">
        <f t="shared" si="53"/>
        <v>0</v>
      </c>
      <c r="Q382" s="34"/>
      <c r="R382" s="35"/>
    </row>
    <row r="383" spans="1:18" x14ac:dyDescent="0.3">
      <c r="A383" s="37" t="s">
        <v>77</v>
      </c>
      <c r="B383" s="33" t="s">
        <v>105</v>
      </c>
      <c r="C383" s="34">
        <v>2100</v>
      </c>
      <c r="D383" s="33">
        <v>80</v>
      </c>
      <c r="E383" s="33">
        <v>326.33999999999997</v>
      </c>
      <c r="F383" s="33">
        <v>2000</v>
      </c>
      <c r="G383" s="34">
        <v>226.34</v>
      </c>
      <c r="H383" s="34">
        <v>0</v>
      </c>
      <c r="I383" s="34">
        <v>2326.34</v>
      </c>
      <c r="J383" s="34">
        <v>394.57</v>
      </c>
      <c r="K383" s="34">
        <v>2720.91</v>
      </c>
      <c r="L383" s="33">
        <v>100167</v>
      </c>
      <c r="M383" s="34" t="e">
        <f t="shared" ref="M383:M392" si="55">(E383+F383)/N383</f>
        <v>#DIV/0!</v>
      </c>
      <c r="N383" s="27"/>
      <c r="O383" s="34" t="e">
        <f>((N383-80)*M383)*0.5</f>
        <v>#DIV/0!</v>
      </c>
      <c r="P383" s="35" t="e">
        <f t="shared" si="53"/>
        <v>#VALUE!</v>
      </c>
      <c r="Q383" s="34" t="e">
        <f t="shared" ref="Q383:Q392" si="56">O383*1.5</f>
        <v>#DIV/0!</v>
      </c>
      <c r="R383" s="35">
        <v>409.55</v>
      </c>
    </row>
    <row r="384" spans="1:18" x14ac:dyDescent="0.3">
      <c r="A384" s="37" t="s">
        <v>77</v>
      </c>
      <c r="B384" s="33" t="s">
        <v>105</v>
      </c>
      <c r="C384" s="34">
        <v>2300</v>
      </c>
      <c r="D384" s="33">
        <v>80</v>
      </c>
      <c r="E384" s="33">
        <v>837.96</v>
      </c>
      <c r="F384" s="33">
        <v>2000</v>
      </c>
      <c r="G384" s="34">
        <v>537.96</v>
      </c>
      <c r="H384" s="34">
        <v>0</v>
      </c>
      <c r="I384" s="34">
        <v>2837.96</v>
      </c>
      <c r="J384" s="34">
        <v>446.05</v>
      </c>
      <c r="K384" s="34">
        <v>3284.01</v>
      </c>
      <c r="L384" s="33">
        <v>100163</v>
      </c>
      <c r="M384" s="34" t="e">
        <f t="shared" si="55"/>
        <v>#DIV/0!</v>
      </c>
      <c r="N384" s="27"/>
      <c r="O384" s="34" t="e">
        <f>((N384-80)*M384)*0.5</f>
        <v>#DIV/0!</v>
      </c>
      <c r="P384" s="35" t="e">
        <f t="shared" si="53"/>
        <v>#VALUE!</v>
      </c>
      <c r="Q384" s="34" t="e">
        <f t="shared" si="56"/>
        <v>#DIV/0!</v>
      </c>
      <c r="R384" s="35"/>
    </row>
    <row r="385" spans="1:18" x14ac:dyDescent="0.3">
      <c r="A385" s="37" t="s">
        <v>77</v>
      </c>
      <c r="B385" s="33" t="s">
        <v>105</v>
      </c>
      <c r="C385" s="34">
        <v>2310</v>
      </c>
      <c r="D385" s="33">
        <v>80</v>
      </c>
      <c r="E385" s="33">
        <v>850.43</v>
      </c>
      <c r="F385" s="33">
        <v>2000</v>
      </c>
      <c r="G385" s="34">
        <v>540.42999999999995</v>
      </c>
      <c r="H385" s="34">
        <v>0</v>
      </c>
      <c r="I385" s="34">
        <v>2850.43</v>
      </c>
      <c r="J385" s="34">
        <v>441.19</v>
      </c>
      <c r="K385" s="34">
        <v>3291.62</v>
      </c>
      <c r="L385" s="33">
        <v>100168</v>
      </c>
      <c r="M385" s="34" t="e">
        <f t="shared" si="55"/>
        <v>#DIV/0!</v>
      </c>
      <c r="N385" s="27"/>
      <c r="O385" s="34" t="e">
        <f>((N385-80)*M385)*0.5</f>
        <v>#DIV/0!</v>
      </c>
      <c r="P385" s="35" t="e">
        <f t="shared" si="53"/>
        <v>#VALUE!</v>
      </c>
      <c r="Q385" s="34" t="e">
        <f t="shared" si="56"/>
        <v>#DIV/0!</v>
      </c>
      <c r="R385" s="35"/>
    </row>
    <row r="386" spans="1:18" x14ac:dyDescent="0.3">
      <c r="A386" s="37" t="s">
        <v>77</v>
      </c>
      <c r="B386" s="33" t="s">
        <v>105</v>
      </c>
      <c r="C386" s="34">
        <v>2310</v>
      </c>
      <c r="D386" s="33">
        <v>80</v>
      </c>
      <c r="E386" s="33">
        <v>850.44</v>
      </c>
      <c r="F386" s="33">
        <v>2000</v>
      </c>
      <c r="G386" s="34">
        <v>540.44000000000005</v>
      </c>
      <c r="H386" s="34">
        <v>0</v>
      </c>
      <c r="I386" s="34">
        <v>2850.44</v>
      </c>
      <c r="J386" s="34">
        <v>430.19</v>
      </c>
      <c r="K386" s="34">
        <v>3280.63</v>
      </c>
      <c r="L386" s="33" t="s">
        <v>14</v>
      </c>
      <c r="M386" s="34" t="e">
        <f t="shared" si="55"/>
        <v>#DIV/0!</v>
      </c>
      <c r="N386" s="27"/>
      <c r="O386" s="34" t="e">
        <f>((N386-80)*M386)*0.5</f>
        <v>#DIV/0!</v>
      </c>
      <c r="P386" s="35" t="e">
        <f t="shared" si="53"/>
        <v>#VALUE!</v>
      </c>
      <c r="Q386" s="34" t="e">
        <f t="shared" si="56"/>
        <v>#DIV/0!</v>
      </c>
      <c r="R386" s="35"/>
    </row>
    <row r="387" spans="1:18" x14ac:dyDescent="0.3">
      <c r="A387" s="32">
        <v>43581</v>
      </c>
      <c r="B387" s="33" t="s">
        <v>105</v>
      </c>
      <c r="C387" s="34">
        <v>2150</v>
      </c>
      <c r="D387" s="36">
        <v>59</v>
      </c>
      <c r="E387" s="33">
        <v>650.67999999999995</v>
      </c>
      <c r="F387" s="33">
        <v>2000</v>
      </c>
      <c r="G387" s="34">
        <v>500.68</v>
      </c>
      <c r="H387" s="34">
        <v>0</v>
      </c>
      <c r="I387" s="34">
        <v>2650.68</v>
      </c>
      <c r="J387" s="34">
        <v>406.79</v>
      </c>
      <c r="K387" s="34">
        <v>3057.47</v>
      </c>
      <c r="L387" s="33" t="s">
        <v>14</v>
      </c>
      <c r="M387" s="34">
        <f t="shared" si="55"/>
        <v>44.926779661016944</v>
      </c>
      <c r="N387" s="27">
        <v>59</v>
      </c>
      <c r="O387" s="34">
        <v>0</v>
      </c>
      <c r="P387" s="35">
        <f t="shared" si="53"/>
        <v>0</v>
      </c>
      <c r="Q387" s="34">
        <f t="shared" si="56"/>
        <v>0</v>
      </c>
      <c r="R387" s="35"/>
    </row>
    <row r="388" spans="1:18" x14ac:dyDescent="0.3">
      <c r="A388" s="32">
        <v>43595</v>
      </c>
      <c r="B388" s="33" t="s">
        <v>105</v>
      </c>
      <c r="C388" s="34">
        <v>2570</v>
      </c>
      <c r="D388" s="33">
        <v>80</v>
      </c>
      <c r="E388" s="33">
        <v>1175.03</v>
      </c>
      <c r="F388" s="33">
        <v>2000</v>
      </c>
      <c r="G388" s="34">
        <v>605.03</v>
      </c>
      <c r="H388" s="34">
        <v>0</v>
      </c>
      <c r="I388" s="34">
        <v>3175.03</v>
      </c>
      <c r="J388" s="34">
        <v>455.5</v>
      </c>
      <c r="K388" s="34">
        <v>3630.53</v>
      </c>
      <c r="L388" s="33" t="s">
        <v>14</v>
      </c>
      <c r="M388" s="34">
        <f t="shared" si="55"/>
        <v>32.901865284974093</v>
      </c>
      <c r="N388" s="27">
        <v>96.5</v>
      </c>
      <c r="O388" s="34">
        <f>((N388-80)*M388)*0.5</f>
        <v>271.44038860103626</v>
      </c>
      <c r="P388" s="35">
        <f t="shared" si="53"/>
        <v>43.43</v>
      </c>
      <c r="Q388" s="34">
        <f t="shared" si="56"/>
        <v>407.16058290155439</v>
      </c>
      <c r="R388" s="35"/>
    </row>
    <row r="389" spans="1:18" x14ac:dyDescent="0.3">
      <c r="A389" s="32">
        <v>43609</v>
      </c>
      <c r="B389" s="33" t="s">
        <v>105</v>
      </c>
      <c r="C389" s="34">
        <v>2570</v>
      </c>
      <c r="D389" s="33">
        <v>80</v>
      </c>
      <c r="E389" s="33">
        <v>1175.04</v>
      </c>
      <c r="F389" s="33">
        <v>2000</v>
      </c>
      <c r="G389" s="34">
        <v>605.04</v>
      </c>
      <c r="H389" s="34">
        <v>0</v>
      </c>
      <c r="I389" s="34">
        <v>3175.04</v>
      </c>
      <c r="J389" s="34">
        <v>455.52</v>
      </c>
      <c r="K389" s="34">
        <v>3630.56</v>
      </c>
      <c r="L389" s="33" t="s">
        <v>14</v>
      </c>
      <c r="M389" s="34">
        <f t="shared" si="55"/>
        <v>36.919069767441862</v>
      </c>
      <c r="N389" s="27">
        <v>86</v>
      </c>
      <c r="O389" s="34">
        <f>((N389-80)*M389)*0.5</f>
        <v>110.75720930232558</v>
      </c>
      <c r="P389" s="35">
        <f t="shared" si="53"/>
        <v>16.61</v>
      </c>
      <c r="Q389" s="34">
        <f t="shared" si="56"/>
        <v>166.13581395348837</v>
      </c>
      <c r="R389" s="35"/>
    </row>
    <row r="390" spans="1:18" x14ac:dyDescent="0.3">
      <c r="A390" s="32">
        <v>43623</v>
      </c>
      <c r="B390" s="33" t="s">
        <v>105</v>
      </c>
      <c r="C390" s="34">
        <v>2060</v>
      </c>
      <c r="D390" s="36">
        <v>56</v>
      </c>
      <c r="E390" s="33">
        <v>538.29</v>
      </c>
      <c r="F390" s="33">
        <v>2000</v>
      </c>
      <c r="G390" s="34">
        <v>478.29</v>
      </c>
      <c r="H390" s="34">
        <v>0</v>
      </c>
      <c r="I390" s="34">
        <v>2538.29</v>
      </c>
      <c r="J390" s="34">
        <v>396.34</v>
      </c>
      <c r="K390" s="34">
        <v>2934.63</v>
      </c>
      <c r="L390" s="33" t="s">
        <v>14</v>
      </c>
      <c r="M390" s="34">
        <f t="shared" si="55"/>
        <v>37.327794117647059</v>
      </c>
      <c r="N390" s="27">
        <v>68</v>
      </c>
      <c r="O390" s="38">
        <f>(M390*0.5)*16</f>
        <v>298.62235294117647</v>
      </c>
      <c r="P390" s="35">
        <f t="shared" si="53"/>
        <v>44.79</v>
      </c>
      <c r="Q390" s="34">
        <f t="shared" si="56"/>
        <v>447.93352941176471</v>
      </c>
      <c r="R390" s="35"/>
    </row>
    <row r="391" spans="1:18" x14ac:dyDescent="0.3">
      <c r="A391" s="32">
        <v>43637</v>
      </c>
      <c r="B391" s="33" t="s">
        <v>105</v>
      </c>
      <c r="C391" s="34">
        <v>3020</v>
      </c>
      <c r="D391" s="33">
        <v>80</v>
      </c>
      <c r="E391" s="33">
        <v>1772.02</v>
      </c>
      <c r="F391" s="33">
        <v>2000</v>
      </c>
      <c r="G391" s="34">
        <v>752.02</v>
      </c>
      <c r="H391" s="34">
        <v>0</v>
      </c>
      <c r="I391" s="34">
        <v>3772.02</v>
      </c>
      <c r="J391" s="34">
        <v>510.97</v>
      </c>
      <c r="K391" s="34">
        <v>4282.99</v>
      </c>
      <c r="L391" s="33" t="s">
        <v>14</v>
      </c>
      <c r="M391" s="34">
        <f t="shared" si="55"/>
        <v>24.980264900662252</v>
      </c>
      <c r="N391" s="27">
        <v>151</v>
      </c>
      <c r="O391" s="34">
        <f>((N391-80)*M391)*0.5</f>
        <v>886.79940397350992</v>
      </c>
      <c r="P391" s="35">
        <f t="shared" si="53"/>
        <v>124.15</v>
      </c>
      <c r="Q391" s="34">
        <f t="shared" si="56"/>
        <v>1330.1991059602649</v>
      </c>
      <c r="R391" s="35"/>
    </row>
    <row r="392" spans="1:18" x14ac:dyDescent="0.3">
      <c r="A392" s="32">
        <v>43651</v>
      </c>
      <c r="B392" s="33" t="s">
        <v>105</v>
      </c>
      <c r="C392" s="34">
        <v>2130</v>
      </c>
      <c r="D392" s="33">
        <v>80</v>
      </c>
      <c r="E392" s="33">
        <v>358.91</v>
      </c>
      <c r="F392" s="33">
        <v>2000</v>
      </c>
      <c r="G392" s="34">
        <v>228.91</v>
      </c>
      <c r="H392" s="34">
        <v>0</v>
      </c>
      <c r="I392" s="34">
        <v>2358.91</v>
      </c>
      <c r="J392" s="34">
        <v>379.67</v>
      </c>
      <c r="K392" s="34">
        <v>2738.58</v>
      </c>
      <c r="L392" s="33" t="s">
        <v>14</v>
      </c>
      <c r="M392" s="34">
        <f t="shared" si="55"/>
        <v>22.149389671361501</v>
      </c>
      <c r="N392" s="27">
        <v>106.5</v>
      </c>
      <c r="O392" s="34">
        <f>((N392-80)*M392)*0.5</f>
        <v>293.47941314553987</v>
      </c>
      <c r="P392" s="35">
        <f t="shared" si="53"/>
        <v>41.09</v>
      </c>
      <c r="Q392" s="34">
        <f t="shared" si="56"/>
        <v>440.2191197183098</v>
      </c>
      <c r="R392" s="35"/>
    </row>
    <row r="393" spans="1:18" x14ac:dyDescent="0.3">
      <c r="A393" s="32">
        <v>43659</v>
      </c>
      <c r="B393" s="33" t="s">
        <v>105</v>
      </c>
      <c r="C393" s="34"/>
      <c r="D393" s="31">
        <v>91</v>
      </c>
      <c r="E393" s="33"/>
      <c r="F393" s="33"/>
      <c r="G393" s="34"/>
      <c r="H393" s="34"/>
      <c r="I393" s="34"/>
      <c r="J393" s="34"/>
      <c r="K393" s="34"/>
      <c r="L393" s="33"/>
      <c r="M393" s="34"/>
      <c r="N393" s="27"/>
      <c r="O393" s="34"/>
      <c r="P393" s="35">
        <f t="shared" si="53"/>
        <v>0</v>
      </c>
      <c r="Q393" s="34"/>
      <c r="R393" s="35"/>
    </row>
    <row r="394" spans="1:18" x14ac:dyDescent="0.3">
      <c r="A394" s="32">
        <v>43674</v>
      </c>
      <c r="B394" s="33" t="s">
        <v>105</v>
      </c>
      <c r="C394" s="34"/>
      <c r="D394" s="31">
        <v>124</v>
      </c>
      <c r="E394" s="33"/>
      <c r="F394" s="33"/>
      <c r="G394" s="34"/>
      <c r="H394" s="34"/>
      <c r="I394" s="34"/>
      <c r="J394" s="34"/>
      <c r="K394" s="34"/>
      <c r="L394" s="33"/>
      <c r="M394" s="34"/>
      <c r="N394" s="27"/>
      <c r="O394" s="34"/>
      <c r="P394" s="35">
        <f t="shared" si="53"/>
        <v>0</v>
      </c>
      <c r="Q394" s="34"/>
      <c r="R394" s="35"/>
    </row>
    <row r="395" spans="1:18" x14ac:dyDescent="0.3">
      <c r="A395" s="32">
        <v>43688</v>
      </c>
      <c r="B395" s="33" t="s">
        <v>105</v>
      </c>
      <c r="C395" s="34"/>
      <c r="D395" s="31">
        <v>123</v>
      </c>
      <c r="E395" s="33"/>
      <c r="F395" s="33"/>
      <c r="G395" s="34"/>
      <c r="H395" s="34"/>
      <c r="I395" s="34"/>
      <c r="J395" s="34"/>
      <c r="K395" s="34"/>
      <c r="L395" s="33"/>
      <c r="M395" s="34"/>
      <c r="N395" s="27"/>
      <c r="O395" s="34"/>
      <c r="P395" s="35">
        <f t="shared" si="53"/>
        <v>0</v>
      </c>
      <c r="Q395" s="34"/>
      <c r="R395" s="35"/>
    </row>
    <row r="396" spans="1:18" x14ac:dyDescent="0.3">
      <c r="A396" s="32">
        <v>43701</v>
      </c>
      <c r="B396" s="33" t="s">
        <v>105</v>
      </c>
      <c r="C396" s="34"/>
      <c r="D396" s="31">
        <v>137</v>
      </c>
      <c r="E396" s="33"/>
      <c r="F396" s="33"/>
      <c r="G396" s="34"/>
      <c r="H396" s="34"/>
      <c r="I396" s="34"/>
      <c r="J396" s="34"/>
      <c r="K396" s="34"/>
      <c r="L396" s="33"/>
      <c r="M396" s="34"/>
      <c r="N396" s="27"/>
      <c r="O396" s="34"/>
      <c r="P396" s="35">
        <f t="shared" si="53"/>
        <v>0</v>
      </c>
      <c r="Q396" s="34"/>
      <c r="R396" s="35"/>
    </row>
    <row r="397" spans="1:18" x14ac:dyDescent="0.3">
      <c r="A397" s="32">
        <v>43715</v>
      </c>
      <c r="B397" s="33" t="s">
        <v>105</v>
      </c>
      <c r="C397" s="34"/>
      <c r="D397" s="31">
        <v>107.5</v>
      </c>
      <c r="E397" s="33"/>
      <c r="F397" s="33"/>
      <c r="G397" s="34"/>
      <c r="H397" s="34"/>
      <c r="I397" s="34"/>
      <c r="J397" s="34"/>
      <c r="K397" s="34"/>
      <c r="L397" s="33"/>
      <c r="M397" s="34"/>
      <c r="N397" s="27"/>
      <c r="O397" s="34"/>
      <c r="P397" s="35">
        <f t="shared" si="53"/>
        <v>0</v>
      </c>
      <c r="Q397" s="34"/>
      <c r="R397" s="35"/>
    </row>
    <row r="398" spans="1:18" x14ac:dyDescent="0.3">
      <c r="A398" s="32">
        <v>43729</v>
      </c>
      <c r="B398" s="33" t="s">
        <v>105</v>
      </c>
      <c r="C398" s="34"/>
      <c r="D398" s="31">
        <v>112</v>
      </c>
      <c r="E398" s="33"/>
      <c r="F398" s="33"/>
      <c r="G398" s="34"/>
      <c r="H398" s="34"/>
      <c r="I398" s="34"/>
      <c r="J398" s="34"/>
      <c r="K398" s="34"/>
      <c r="L398" s="33"/>
      <c r="M398" s="34"/>
      <c r="N398" s="27"/>
      <c r="O398" s="34"/>
      <c r="P398" s="35">
        <f t="shared" ref="P398:P429" si="57">ROUND(((ROUNDDOWN(($T$1-A398)/30,0))/100)*O398,2)</f>
        <v>0</v>
      </c>
      <c r="Q398" s="34"/>
      <c r="R398" s="35"/>
    </row>
    <row r="399" spans="1:18" x14ac:dyDescent="0.3">
      <c r="A399" s="37" t="s">
        <v>77</v>
      </c>
      <c r="B399" s="33" t="s">
        <v>106</v>
      </c>
      <c r="C399" s="34">
        <v>2020</v>
      </c>
      <c r="D399" s="33">
        <v>80</v>
      </c>
      <c r="E399" s="33">
        <v>219.48</v>
      </c>
      <c r="F399" s="33">
        <v>2020</v>
      </c>
      <c r="G399" s="34">
        <v>219.48</v>
      </c>
      <c r="H399" s="34">
        <v>0</v>
      </c>
      <c r="I399" s="34">
        <v>2239.48</v>
      </c>
      <c r="J399" s="34">
        <v>385.84</v>
      </c>
      <c r="K399" s="34">
        <v>2625.32</v>
      </c>
      <c r="L399" s="33">
        <v>100151</v>
      </c>
      <c r="M399" s="34" t="e">
        <f t="shared" ref="M399:M404" si="58">(E399+F399)/N399</f>
        <v>#DIV/0!</v>
      </c>
      <c r="N399" s="27"/>
      <c r="O399" s="34" t="e">
        <f>((N399-80)*M399)*0.5</f>
        <v>#DIV/0!</v>
      </c>
      <c r="P399" s="35" t="e">
        <f t="shared" si="57"/>
        <v>#VALUE!</v>
      </c>
      <c r="Q399" s="34" t="e">
        <f t="shared" ref="Q399:Q404" si="59">O399*1.5</f>
        <v>#DIV/0!</v>
      </c>
      <c r="R399" s="35">
        <v>409.55</v>
      </c>
    </row>
    <row r="400" spans="1:18" x14ac:dyDescent="0.3">
      <c r="A400" s="37" t="s">
        <v>77</v>
      </c>
      <c r="B400" s="33" t="s">
        <v>106</v>
      </c>
      <c r="C400" s="34">
        <v>1340</v>
      </c>
      <c r="D400" s="33">
        <v>80</v>
      </c>
      <c r="E400" s="33">
        <v>198.89</v>
      </c>
      <c r="F400" s="33">
        <v>1780</v>
      </c>
      <c r="G400" s="34">
        <v>198.89</v>
      </c>
      <c r="H400" s="34">
        <v>440</v>
      </c>
      <c r="I400" s="34">
        <v>1978.89</v>
      </c>
      <c r="J400" s="34">
        <v>359.62</v>
      </c>
      <c r="K400" s="34">
        <v>2338.5100000000002</v>
      </c>
      <c r="L400" s="33">
        <v>100161</v>
      </c>
      <c r="M400" s="34" t="e">
        <f t="shared" si="58"/>
        <v>#DIV/0!</v>
      </c>
      <c r="N400" s="27"/>
      <c r="O400" s="34" t="e">
        <f>((N400-80)*M400)*0.5</f>
        <v>#DIV/0!</v>
      </c>
      <c r="P400" s="35" t="e">
        <f t="shared" si="57"/>
        <v>#VALUE!</v>
      </c>
      <c r="Q400" s="34" t="e">
        <f t="shared" si="59"/>
        <v>#DIV/0!</v>
      </c>
      <c r="R400" s="35"/>
    </row>
    <row r="401" spans="1:18" x14ac:dyDescent="0.3">
      <c r="A401" s="37" t="s">
        <v>77</v>
      </c>
      <c r="B401" s="33" t="s">
        <v>106</v>
      </c>
      <c r="C401" s="34">
        <v>1795</v>
      </c>
      <c r="D401" s="33">
        <v>80</v>
      </c>
      <c r="E401" s="33">
        <v>433.13</v>
      </c>
      <c r="F401" s="33">
        <v>1870</v>
      </c>
      <c r="G401" s="34">
        <v>433.13</v>
      </c>
      <c r="H401" s="34">
        <v>75</v>
      </c>
      <c r="I401" s="34">
        <v>2303.13</v>
      </c>
      <c r="J401" s="34">
        <v>392.22</v>
      </c>
      <c r="K401" s="34">
        <v>2695.35</v>
      </c>
      <c r="L401" s="33">
        <v>100165</v>
      </c>
      <c r="M401" s="34" t="e">
        <f t="shared" si="58"/>
        <v>#DIV/0!</v>
      </c>
      <c r="N401" s="27"/>
      <c r="O401" s="34" t="e">
        <f>((N401-80)*M401)*0.5</f>
        <v>#DIV/0!</v>
      </c>
      <c r="P401" s="35" t="e">
        <f t="shared" si="57"/>
        <v>#VALUE!</v>
      </c>
      <c r="Q401" s="34" t="e">
        <f t="shared" si="59"/>
        <v>#DIV/0!</v>
      </c>
      <c r="R401" s="35"/>
    </row>
    <row r="402" spans="1:18" x14ac:dyDescent="0.3">
      <c r="A402" s="37" t="s">
        <v>77</v>
      </c>
      <c r="B402" s="33" t="s">
        <v>106</v>
      </c>
      <c r="C402" s="34">
        <v>1320</v>
      </c>
      <c r="D402" s="33">
        <v>80</v>
      </c>
      <c r="E402" s="33">
        <v>386.59</v>
      </c>
      <c r="F402" s="33">
        <v>1760</v>
      </c>
      <c r="G402" s="34">
        <v>386.59</v>
      </c>
      <c r="H402" s="34">
        <v>440</v>
      </c>
      <c r="I402" s="34">
        <v>2146.59</v>
      </c>
      <c r="J402" s="34">
        <v>366.49</v>
      </c>
      <c r="K402" s="34">
        <v>2513.08</v>
      </c>
      <c r="L402" s="33">
        <v>100170</v>
      </c>
      <c r="M402" s="34" t="e">
        <f t="shared" si="58"/>
        <v>#DIV/0!</v>
      </c>
      <c r="N402" s="27"/>
      <c r="O402" s="34" t="e">
        <f>((N402-80)*M402)*0.5</f>
        <v>#DIV/0!</v>
      </c>
      <c r="P402" s="35" t="e">
        <f t="shared" si="57"/>
        <v>#VALUE!</v>
      </c>
      <c r="Q402" s="34" t="e">
        <f t="shared" si="59"/>
        <v>#DIV/0!</v>
      </c>
      <c r="R402" s="35"/>
    </row>
    <row r="403" spans="1:18" x14ac:dyDescent="0.3">
      <c r="A403" s="37" t="s">
        <v>77</v>
      </c>
      <c r="B403" s="33" t="s">
        <v>106</v>
      </c>
      <c r="C403" s="34">
        <v>1449</v>
      </c>
      <c r="D403" s="33">
        <v>69</v>
      </c>
      <c r="E403" s="33">
        <v>299</v>
      </c>
      <c r="F403" s="33">
        <v>1452</v>
      </c>
      <c r="G403" s="34">
        <v>302</v>
      </c>
      <c r="H403" s="34">
        <v>0</v>
      </c>
      <c r="I403" s="34">
        <v>1751</v>
      </c>
      <c r="J403" s="34">
        <v>301.13</v>
      </c>
      <c r="K403" s="34">
        <v>2052.13</v>
      </c>
      <c r="L403" s="33">
        <v>100177</v>
      </c>
      <c r="M403" s="34" t="e">
        <f t="shared" si="58"/>
        <v>#DIV/0!</v>
      </c>
      <c r="N403" s="27"/>
      <c r="O403" s="34" t="e">
        <f>((N403-80)*M403)*0.5</f>
        <v>#DIV/0!</v>
      </c>
      <c r="P403" s="35" t="e">
        <f t="shared" si="57"/>
        <v>#VALUE!</v>
      </c>
      <c r="Q403" s="34" t="e">
        <f t="shared" si="59"/>
        <v>#DIV/0!</v>
      </c>
      <c r="R403" s="35"/>
    </row>
    <row r="404" spans="1:18" x14ac:dyDescent="0.3">
      <c r="A404" s="32">
        <v>43637</v>
      </c>
      <c r="B404" s="33" t="s">
        <v>106</v>
      </c>
      <c r="C404" s="34">
        <v>1500</v>
      </c>
      <c r="D404" s="36">
        <v>65</v>
      </c>
      <c r="E404" s="33">
        <v>318.64999999999998</v>
      </c>
      <c r="F404" s="33">
        <v>1500</v>
      </c>
      <c r="G404" s="34">
        <v>318.64999999999998</v>
      </c>
      <c r="H404" s="34">
        <v>0</v>
      </c>
      <c r="I404" s="34">
        <v>1818.65</v>
      </c>
      <c r="J404" s="34">
        <v>319.45</v>
      </c>
      <c r="K404" s="34">
        <v>2138.1</v>
      </c>
      <c r="L404" s="33">
        <v>100178</v>
      </c>
      <c r="M404" s="34">
        <f t="shared" si="58"/>
        <v>24.248666666666669</v>
      </c>
      <c r="N404" s="27">
        <v>75</v>
      </c>
      <c r="O404" s="38">
        <f>(M404*0.5)*25</f>
        <v>303.10833333333335</v>
      </c>
      <c r="P404" s="35">
        <f t="shared" si="57"/>
        <v>42.44</v>
      </c>
      <c r="Q404" s="34">
        <f t="shared" si="59"/>
        <v>454.66250000000002</v>
      </c>
      <c r="R404" s="35"/>
    </row>
    <row r="405" spans="1:18" x14ac:dyDescent="0.3">
      <c r="A405" s="37">
        <v>43547</v>
      </c>
      <c r="B405" s="36" t="s">
        <v>107</v>
      </c>
      <c r="C405" s="34"/>
      <c r="D405" s="31">
        <v>94</v>
      </c>
      <c r="E405" s="33"/>
      <c r="F405" s="33"/>
      <c r="G405" s="34"/>
      <c r="H405" s="34"/>
      <c r="I405" s="34"/>
      <c r="J405" s="34"/>
      <c r="K405" s="34"/>
      <c r="L405" s="33"/>
      <c r="M405" s="34"/>
      <c r="N405" s="27"/>
      <c r="O405" s="34"/>
      <c r="P405" s="35">
        <f t="shared" si="57"/>
        <v>0</v>
      </c>
      <c r="Q405" s="34"/>
      <c r="R405" s="35"/>
    </row>
    <row r="406" spans="1:18" x14ac:dyDescent="0.3">
      <c r="A406" s="32">
        <v>43505</v>
      </c>
      <c r="B406" s="33" t="s">
        <v>108</v>
      </c>
      <c r="C406" s="34"/>
      <c r="D406" s="31">
        <v>101</v>
      </c>
      <c r="E406" s="33"/>
      <c r="F406" s="33"/>
      <c r="G406" s="34"/>
      <c r="H406" s="34"/>
      <c r="I406" s="34"/>
      <c r="J406" s="34"/>
      <c r="K406" s="34"/>
      <c r="L406" s="33"/>
      <c r="M406" s="34"/>
      <c r="N406" s="27"/>
      <c r="O406" s="34"/>
      <c r="P406" s="35">
        <f t="shared" si="57"/>
        <v>0</v>
      </c>
      <c r="Q406" s="34"/>
      <c r="R406" s="35"/>
    </row>
    <row r="407" spans="1:18" x14ac:dyDescent="0.3">
      <c r="A407" s="32">
        <v>43519</v>
      </c>
      <c r="B407" s="33" t="s">
        <v>108</v>
      </c>
      <c r="C407" s="34"/>
      <c r="D407" s="31">
        <v>89</v>
      </c>
      <c r="E407" s="33"/>
      <c r="F407" s="33"/>
      <c r="G407" s="34"/>
      <c r="H407" s="34"/>
      <c r="I407" s="34"/>
      <c r="J407" s="34"/>
      <c r="K407" s="34"/>
      <c r="L407" s="33"/>
      <c r="M407" s="34"/>
      <c r="N407" s="27"/>
      <c r="O407" s="34"/>
      <c r="P407" s="35">
        <f t="shared" si="57"/>
        <v>0</v>
      </c>
      <c r="Q407" s="34"/>
      <c r="R407" s="35"/>
    </row>
    <row r="408" spans="1:18" x14ac:dyDescent="0.3">
      <c r="A408" s="32">
        <v>43533</v>
      </c>
      <c r="B408" s="33" t="s">
        <v>108</v>
      </c>
      <c r="C408" s="34"/>
      <c r="D408" s="31">
        <v>93.5</v>
      </c>
      <c r="E408" s="33"/>
      <c r="F408" s="33"/>
      <c r="G408" s="34"/>
      <c r="H408" s="34"/>
      <c r="I408" s="34"/>
      <c r="J408" s="34"/>
      <c r="K408" s="34"/>
      <c r="L408" s="33"/>
      <c r="M408" s="34"/>
      <c r="N408" s="27"/>
      <c r="O408" s="34"/>
      <c r="P408" s="35">
        <f t="shared" si="57"/>
        <v>0</v>
      </c>
      <c r="Q408" s="34"/>
      <c r="R408" s="35"/>
    </row>
    <row r="409" spans="1:18" x14ac:dyDescent="0.3">
      <c r="A409" s="32">
        <v>43805</v>
      </c>
      <c r="B409" s="33" t="s">
        <v>108</v>
      </c>
      <c r="C409" s="34">
        <v>664</v>
      </c>
      <c r="D409" s="36">
        <v>58</v>
      </c>
      <c r="E409" s="33">
        <v>135.72</v>
      </c>
      <c r="F409" s="33">
        <v>1044</v>
      </c>
      <c r="G409" s="34">
        <v>135.72</v>
      </c>
      <c r="H409" s="34">
        <v>380</v>
      </c>
      <c r="I409" s="34">
        <v>1179.72</v>
      </c>
      <c r="J409" s="34">
        <v>277.22000000000003</v>
      </c>
      <c r="K409" s="34">
        <v>1456.94</v>
      </c>
      <c r="L409" s="33" t="s">
        <v>14</v>
      </c>
      <c r="M409" s="34">
        <f t="shared" ref="M409:M414" si="60">(E409+F409)/N409</f>
        <v>20.34</v>
      </c>
      <c r="N409" s="27">
        <v>58</v>
      </c>
      <c r="O409" s="34">
        <v>0</v>
      </c>
      <c r="P409" s="35">
        <f t="shared" si="57"/>
        <v>0</v>
      </c>
      <c r="Q409" s="34">
        <f t="shared" ref="Q409:Q414" si="61">O409*1.5</f>
        <v>0</v>
      </c>
      <c r="R409" s="35">
        <v>409.55</v>
      </c>
    </row>
    <row r="410" spans="1:18" x14ac:dyDescent="0.3">
      <c r="A410" s="32">
        <v>43819</v>
      </c>
      <c r="B410" s="33" t="s">
        <v>108</v>
      </c>
      <c r="C410" s="34">
        <v>1621</v>
      </c>
      <c r="D410" s="33">
        <v>80</v>
      </c>
      <c r="E410" s="33">
        <v>229.63</v>
      </c>
      <c r="F410" s="33">
        <v>1791</v>
      </c>
      <c r="G410" s="34">
        <v>229.63</v>
      </c>
      <c r="H410" s="34">
        <v>170</v>
      </c>
      <c r="I410" s="34">
        <v>2020.63</v>
      </c>
      <c r="J410" s="34">
        <v>360.38</v>
      </c>
      <c r="K410" s="34">
        <v>2381.0100000000002</v>
      </c>
      <c r="L410" s="33" t="s">
        <v>14</v>
      </c>
      <c r="M410" s="34">
        <f t="shared" si="60"/>
        <v>21.611016042780751</v>
      </c>
      <c r="N410" s="27">
        <v>93.5</v>
      </c>
      <c r="O410" s="34">
        <f>((N410-80)*M410)*0.5</f>
        <v>145.87435828877005</v>
      </c>
      <c r="P410" s="35">
        <f t="shared" si="57"/>
        <v>11.67</v>
      </c>
      <c r="Q410" s="34">
        <f t="shared" si="61"/>
        <v>218.81153743315508</v>
      </c>
      <c r="R410" s="35"/>
    </row>
    <row r="411" spans="1:18" x14ac:dyDescent="0.3">
      <c r="A411" s="32">
        <v>43833</v>
      </c>
      <c r="B411" s="33" t="s">
        <v>108</v>
      </c>
      <c r="C411" s="34">
        <v>2593</v>
      </c>
      <c r="D411" s="36">
        <v>50</v>
      </c>
      <c r="E411" s="33">
        <v>411.62</v>
      </c>
      <c r="F411" s="36">
        <v>1593</v>
      </c>
      <c r="G411" s="34">
        <v>411.62</v>
      </c>
      <c r="H411" s="34">
        <v>0</v>
      </c>
      <c r="I411" s="34">
        <v>3004.62</v>
      </c>
      <c r="J411" s="34">
        <v>457.7</v>
      </c>
      <c r="K411" s="34">
        <v>3462.32</v>
      </c>
      <c r="L411" s="33" t="s">
        <v>14</v>
      </c>
      <c r="M411" s="34">
        <f t="shared" si="60"/>
        <v>22.651073446327683</v>
      </c>
      <c r="N411" s="27">
        <v>88.5</v>
      </c>
      <c r="O411" s="38">
        <f>(M411*0.5)*10</f>
        <v>113.25536723163842</v>
      </c>
      <c r="P411" s="35">
        <f t="shared" si="57"/>
        <v>9.06</v>
      </c>
      <c r="Q411" s="34">
        <f t="shared" si="61"/>
        <v>169.88305084745764</v>
      </c>
      <c r="R411" s="35"/>
    </row>
    <row r="412" spans="1:18" x14ac:dyDescent="0.3">
      <c r="A412" s="32">
        <v>43847</v>
      </c>
      <c r="B412" s="33" t="s">
        <v>108</v>
      </c>
      <c r="C412" s="34">
        <v>1502</v>
      </c>
      <c r="D412" s="36">
        <v>51.5</v>
      </c>
      <c r="E412" s="33"/>
      <c r="F412" s="33">
        <v>1602</v>
      </c>
      <c r="G412" s="34">
        <v>169.09</v>
      </c>
      <c r="H412" s="34">
        <v>100</v>
      </c>
      <c r="I412" s="34">
        <v>1771.09</v>
      </c>
      <c r="J412" s="34">
        <v>318.98</v>
      </c>
      <c r="K412" s="34">
        <v>2090.0700000000002</v>
      </c>
      <c r="L412" s="33" t="s">
        <v>14</v>
      </c>
      <c r="M412" s="34">
        <f t="shared" si="60"/>
        <v>18</v>
      </c>
      <c r="N412" s="27">
        <v>89</v>
      </c>
      <c r="O412" s="38">
        <f>(M412*0.5)*11.5</f>
        <v>103.5</v>
      </c>
      <c r="P412" s="35">
        <f t="shared" si="57"/>
        <v>7.25</v>
      </c>
      <c r="Q412" s="34">
        <f t="shared" si="61"/>
        <v>155.25</v>
      </c>
      <c r="R412" s="35"/>
    </row>
    <row r="413" spans="1:18" x14ac:dyDescent="0.3">
      <c r="A413" s="32">
        <v>43861</v>
      </c>
      <c r="B413" s="33" t="s">
        <v>108</v>
      </c>
      <c r="C413" s="34">
        <v>1777</v>
      </c>
      <c r="D413" s="33">
        <v>80</v>
      </c>
      <c r="E413" s="33"/>
      <c r="F413" s="33">
        <v>1827</v>
      </c>
      <c r="G413" s="34">
        <v>191.49</v>
      </c>
      <c r="H413" s="34">
        <v>50</v>
      </c>
      <c r="I413" s="34">
        <v>2018.49</v>
      </c>
      <c r="J413" s="34">
        <v>341.22</v>
      </c>
      <c r="K413" s="34">
        <v>2359.71</v>
      </c>
      <c r="L413" s="33" t="s">
        <v>14</v>
      </c>
      <c r="M413" s="34">
        <f t="shared" si="60"/>
        <v>18</v>
      </c>
      <c r="N413" s="27">
        <v>101.5</v>
      </c>
      <c r="O413" s="34">
        <f>((N413-80)*M413)*0.5</f>
        <v>193.5</v>
      </c>
      <c r="P413" s="35">
        <f t="shared" si="57"/>
        <v>13.55</v>
      </c>
      <c r="Q413" s="34">
        <f t="shared" si="61"/>
        <v>290.25</v>
      </c>
      <c r="R413" s="35"/>
    </row>
    <row r="414" spans="1:18" x14ac:dyDescent="0.3">
      <c r="A414" s="32">
        <v>43875</v>
      </c>
      <c r="B414" s="33" t="s">
        <v>108</v>
      </c>
      <c r="C414" s="34">
        <v>1476</v>
      </c>
      <c r="D414" s="36">
        <v>43</v>
      </c>
      <c r="E414" s="33"/>
      <c r="F414" s="33">
        <v>1476</v>
      </c>
      <c r="G414" s="34">
        <v>159.13999999999999</v>
      </c>
      <c r="H414" s="34">
        <v>0</v>
      </c>
      <c r="I414" s="34">
        <v>1635.14</v>
      </c>
      <c r="J414" s="34">
        <v>301.08</v>
      </c>
      <c r="K414" s="34">
        <v>1936.22</v>
      </c>
      <c r="L414" s="33">
        <v>100194</v>
      </c>
      <c r="M414" s="34">
        <f t="shared" si="60"/>
        <v>18.222222222222221</v>
      </c>
      <c r="N414" s="27">
        <v>81</v>
      </c>
      <c r="O414" s="38">
        <f>(M414*0.5)*3</f>
        <v>27.333333333333332</v>
      </c>
      <c r="P414" s="35">
        <f t="shared" si="57"/>
        <v>1.64</v>
      </c>
      <c r="Q414" s="34">
        <f t="shared" si="61"/>
        <v>41</v>
      </c>
      <c r="R414" s="35"/>
    </row>
    <row r="415" spans="1:18" x14ac:dyDescent="0.3">
      <c r="A415" s="37">
        <v>43617</v>
      </c>
      <c r="B415" s="36" t="s">
        <v>109</v>
      </c>
      <c r="C415" s="34"/>
      <c r="D415" s="31">
        <v>65</v>
      </c>
      <c r="E415" s="33"/>
      <c r="F415" s="33"/>
      <c r="G415" s="34"/>
      <c r="H415" s="34"/>
      <c r="I415" s="34"/>
      <c r="J415" s="34"/>
      <c r="K415" s="34"/>
      <c r="L415" s="33"/>
      <c r="M415" s="34"/>
      <c r="N415" s="27"/>
      <c r="O415" s="34"/>
      <c r="P415" s="35">
        <f t="shared" si="57"/>
        <v>0</v>
      </c>
      <c r="Q415" s="34"/>
      <c r="R415" s="35"/>
    </row>
    <row r="416" spans="1:18" x14ac:dyDescent="0.3">
      <c r="A416" s="37">
        <v>43855</v>
      </c>
      <c r="B416" s="36" t="s">
        <v>110</v>
      </c>
      <c r="C416" s="34"/>
      <c r="D416" s="31">
        <v>66.5</v>
      </c>
      <c r="E416" s="33"/>
      <c r="F416" s="33"/>
      <c r="G416" s="34"/>
      <c r="H416" s="34"/>
      <c r="I416" s="34"/>
      <c r="J416" s="34"/>
      <c r="K416" s="34"/>
      <c r="L416" s="33"/>
      <c r="M416" s="34"/>
      <c r="N416" s="27"/>
      <c r="O416" s="34"/>
      <c r="P416" s="35">
        <f t="shared" si="57"/>
        <v>0</v>
      </c>
      <c r="Q416" s="34"/>
      <c r="R416" s="35"/>
    </row>
    <row r="417" spans="1:18" x14ac:dyDescent="0.3">
      <c r="A417" s="37">
        <v>43869</v>
      </c>
      <c r="B417" s="36" t="s">
        <v>110</v>
      </c>
      <c r="C417" s="34"/>
      <c r="D417" s="31">
        <v>97</v>
      </c>
      <c r="E417" s="33"/>
      <c r="F417" s="33"/>
      <c r="G417" s="34"/>
      <c r="H417" s="34"/>
      <c r="I417" s="34"/>
      <c r="J417" s="34"/>
      <c r="K417" s="34"/>
      <c r="L417" s="33"/>
      <c r="M417" s="34"/>
      <c r="N417" s="27"/>
      <c r="O417" s="34"/>
      <c r="P417" s="35">
        <f t="shared" si="57"/>
        <v>0</v>
      </c>
      <c r="Q417" s="34"/>
      <c r="R417" s="35"/>
    </row>
    <row r="418" spans="1:18" x14ac:dyDescent="0.3">
      <c r="A418" s="37">
        <v>43883</v>
      </c>
      <c r="B418" s="36" t="s">
        <v>110</v>
      </c>
      <c r="C418" s="34"/>
      <c r="D418" s="31">
        <v>102.5</v>
      </c>
      <c r="E418" s="33"/>
      <c r="F418" s="33"/>
      <c r="G418" s="34"/>
      <c r="H418" s="34"/>
      <c r="I418" s="34"/>
      <c r="J418" s="34"/>
      <c r="K418" s="34"/>
      <c r="L418" s="33"/>
      <c r="M418" s="34"/>
      <c r="N418" s="27"/>
      <c r="O418" s="34"/>
      <c r="P418" s="35">
        <f t="shared" si="57"/>
        <v>0</v>
      </c>
      <c r="Q418" s="34"/>
      <c r="R418" s="35"/>
    </row>
    <row r="419" spans="1:18" x14ac:dyDescent="0.3">
      <c r="A419" s="37">
        <v>43897</v>
      </c>
      <c r="B419" s="36" t="s">
        <v>110</v>
      </c>
      <c r="C419" s="34"/>
      <c r="D419" s="31">
        <v>81</v>
      </c>
      <c r="E419" s="33"/>
      <c r="F419" s="33"/>
      <c r="G419" s="34"/>
      <c r="H419" s="34"/>
      <c r="I419" s="34"/>
      <c r="J419" s="34"/>
      <c r="K419" s="34"/>
      <c r="L419" s="33"/>
      <c r="M419" s="34"/>
      <c r="N419" s="27"/>
      <c r="O419" s="34"/>
      <c r="P419" s="35">
        <f t="shared" si="57"/>
        <v>0</v>
      </c>
      <c r="Q419" s="34"/>
      <c r="R419" s="35"/>
    </row>
    <row r="420" spans="1:18" x14ac:dyDescent="0.3">
      <c r="A420" s="37">
        <v>43911</v>
      </c>
      <c r="B420" s="36" t="s">
        <v>110</v>
      </c>
      <c r="C420" s="34"/>
      <c r="D420" s="31">
        <v>79</v>
      </c>
      <c r="E420" s="33"/>
      <c r="F420" s="33"/>
      <c r="G420" s="34"/>
      <c r="H420" s="34"/>
      <c r="I420" s="34"/>
      <c r="J420" s="34"/>
      <c r="K420" s="34"/>
      <c r="L420" s="33"/>
      <c r="M420" s="34"/>
      <c r="N420" s="27"/>
      <c r="O420" s="34"/>
      <c r="P420" s="35">
        <f t="shared" si="57"/>
        <v>0</v>
      </c>
      <c r="Q420" s="34"/>
      <c r="R420" s="35"/>
    </row>
    <row r="421" spans="1:18" x14ac:dyDescent="0.3">
      <c r="A421" s="37">
        <v>44009</v>
      </c>
      <c r="B421" s="36" t="s">
        <v>111</v>
      </c>
      <c r="C421" s="34"/>
      <c r="D421" s="31">
        <v>83.5</v>
      </c>
      <c r="E421" s="33"/>
      <c r="F421" s="33"/>
      <c r="G421" s="34"/>
      <c r="H421" s="34"/>
      <c r="I421" s="34"/>
      <c r="J421" s="34"/>
      <c r="K421" s="34"/>
      <c r="L421" s="33"/>
      <c r="M421" s="34"/>
      <c r="N421" s="27"/>
      <c r="O421" s="34"/>
      <c r="P421" s="35">
        <f t="shared" si="57"/>
        <v>0</v>
      </c>
      <c r="Q421" s="34"/>
      <c r="R421" s="35"/>
    </row>
    <row r="422" spans="1:18" x14ac:dyDescent="0.3">
      <c r="A422" s="37">
        <v>44023</v>
      </c>
      <c r="B422" s="36" t="s">
        <v>111</v>
      </c>
      <c r="C422" s="34"/>
      <c r="D422" s="31">
        <v>106.5</v>
      </c>
      <c r="E422" s="33"/>
      <c r="F422" s="33"/>
      <c r="G422" s="34"/>
      <c r="H422" s="34"/>
      <c r="I422" s="34"/>
      <c r="J422" s="34"/>
      <c r="K422" s="34"/>
      <c r="L422" s="33"/>
      <c r="M422" s="34"/>
      <c r="N422" s="27"/>
      <c r="O422" s="34"/>
      <c r="P422" s="35">
        <f t="shared" si="57"/>
        <v>0</v>
      </c>
      <c r="Q422" s="34"/>
      <c r="R422" s="35"/>
    </row>
    <row r="423" spans="1:18" x14ac:dyDescent="0.3">
      <c r="A423" s="37">
        <v>43924</v>
      </c>
      <c r="B423" s="36" t="s">
        <v>112</v>
      </c>
      <c r="C423" s="34"/>
      <c r="D423" s="31">
        <v>24</v>
      </c>
      <c r="E423" s="33"/>
      <c r="F423" s="33"/>
      <c r="G423" s="34"/>
      <c r="H423" s="34"/>
      <c r="I423" s="34"/>
      <c r="J423" s="34"/>
      <c r="K423" s="34"/>
      <c r="L423" s="33"/>
      <c r="M423" s="34"/>
      <c r="N423" s="27"/>
      <c r="O423" s="34"/>
      <c r="P423" s="35">
        <f t="shared" si="57"/>
        <v>0</v>
      </c>
      <c r="Q423" s="34"/>
      <c r="R423" s="35"/>
    </row>
    <row r="424" spans="1:18" x14ac:dyDescent="0.3">
      <c r="A424" s="37" t="s">
        <v>77</v>
      </c>
      <c r="B424" s="33" t="s">
        <v>113</v>
      </c>
      <c r="C424" s="34">
        <v>1824</v>
      </c>
      <c r="D424" s="33">
        <v>80</v>
      </c>
      <c r="E424" s="33">
        <v>181.11</v>
      </c>
      <c r="F424" s="33">
        <v>1840</v>
      </c>
      <c r="G424" s="34">
        <v>197.11</v>
      </c>
      <c r="H424" s="34">
        <v>0</v>
      </c>
      <c r="I424" s="34">
        <v>2021.11</v>
      </c>
      <c r="J424" s="34">
        <v>363.87</v>
      </c>
      <c r="K424" s="34">
        <v>2384.98</v>
      </c>
      <c r="L424" s="33" t="s">
        <v>14</v>
      </c>
      <c r="M424" s="34" t="e">
        <f t="shared" ref="M424:M451" si="62">(E424+F424)/N424</f>
        <v>#DIV/0!</v>
      </c>
      <c r="N424" s="27"/>
      <c r="O424" s="34" t="e">
        <f t="shared" ref="O424:O431" si="63">((N424-80)*M424)*0.5</f>
        <v>#DIV/0!</v>
      </c>
      <c r="P424" s="35" t="e">
        <f t="shared" si="57"/>
        <v>#VALUE!</v>
      </c>
      <c r="Q424" s="34" t="e">
        <f t="shared" ref="Q424:Q451" si="64">O424*1.5</f>
        <v>#DIV/0!</v>
      </c>
      <c r="R424" s="35">
        <v>409.55</v>
      </c>
    </row>
    <row r="425" spans="1:18" x14ac:dyDescent="0.3">
      <c r="A425" s="37" t="s">
        <v>77</v>
      </c>
      <c r="B425" s="33" t="s">
        <v>113</v>
      </c>
      <c r="C425" s="34">
        <v>1040</v>
      </c>
      <c r="D425" s="33">
        <v>74</v>
      </c>
      <c r="E425" s="33">
        <v>32.76</v>
      </c>
      <c r="F425" s="33">
        <v>1702</v>
      </c>
      <c r="G425" s="34">
        <v>254.76</v>
      </c>
      <c r="H425" s="34">
        <v>440</v>
      </c>
      <c r="I425" s="34">
        <v>1734.76</v>
      </c>
      <c r="J425" s="34">
        <v>323.01</v>
      </c>
      <c r="K425" s="34">
        <v>2057.77</v>
      </c>
      <c r="L425" s="33" t="s">
        <v>14</v>
      </c>
      <c r="M425" s="34" t="e">
        <f t="shared" si="62"/>
        <v>#DIV/0!</v>
      </c>
      <c r="N425" s="27"/>
      <c r="O425" s="34" t="e">
        <f t="shared" si="63"/>
        <v>#DIV/0!</v>
      </c>
      <c r="P425" s="35" t="e">
        <f t="shared" si="57"/>
        <v>#VALUE!</v>
      </c>
      <c r="Q425" s="34" t="e">
        <f t="shared" si="64"/>
        <v>#DIV/0!</v>
      </c>
      <c r="R425" s="35"/>
    </row>
    <row r="426" spans="1:18" x14ac:dyDescent="0.3">
      <c r="A426" s="37" t="s">
        <v>77</v>
      </c>
      <c r="B426" s="33" t="s">
        <v>113</v>
      </c>
      <c r="C426" s="34">
        <v>1620</v>
      </c>
      <c r="D426" s="33">
        <v>80</v>
      </c>
      <c r="E426" s="33">
        <v>508.61</v>
      </c>
      <c r="F426" s="33">
        <v>2400</v>
      </c>
      <c r="G426" s="34">
        <v>488.61</v>
      </c>
      <c r="H426" s="34">
        <v>800</v>
      </c>
      <c r="I426" s="34">
        <v>2908.61</v>
      </c>
      <c r="J426" s="34">
        <v>453.14</v>
      </c>
      <c r="K426" s="34">
        <v>3361.75</v>
      </c>
      <c r="L426" s="33" t="s">
        <v>14</v>
      </c>
      <c r="M426" s="34" t="e">
        <f t="shared" si="62"/>
        <v>#DIV/0!</v>
      </c>
      <c r="N426" s="27"/>
      <c r="O426" s="34" t="e">
        <f t="shared" si="63"/>
        <v>#DIV/0!</v>
      </c>
      <c r="P426" s="35" t="e">
        <f t="shared" si="57"/>
        <v>#VALUE!</v>
      </c>
      <c r="Q426" s="34" t="e">
        <f t="shared" si="64"/>
        <v>#DIV/0!</v>
      </c>
      <c r="R426" s="35"/>
    </row>
    <row r="427" spans="1:18" x14ac:dyDescent="0.3">
      <c r="A427" s="37" t="s">
        <v>77</v>
      </c>
      <c r="B427" s="33" t="s">
        <v>113</v>
      </c>
      <c r="C427" s="34">
        <v>1310</v>
      </c>
      <c r="D427" s="33">
        <v>80</v>
      </c>
      <c r="E427" s="33">
        <v>238.67</v>
      </c>
      <c r="F427" s="33">
        <v>1840</v>
      </c>
      <c r="G427" s="34">
        <v>328.67</v>
      </c>
      <c r="H427" s="34">
        <v>440</v>
      </c>
      <c r="I427" s="34">
        <v>2078.67</v>
      </c>
      <c r="J427" s="34">
        <v>369.66</v>
      </c>
      <c r="K427" s="34">
        <v>2448.33</v>
      </c>
      <c r="L427" s="33" t="s">
        <v>14</v>
      </c>
      <c r="M427" s="34" t="e">
        <f t="shared" si="62"/>
        <v>#DIV/0!</v>
      </c>
      <c r="N427" s="27"/>
      <c r="O427" s="34" t="e">
        <f t="shared" si="63"/>
        <v>#DIV/0!</v>
      </c>
      <c r="P427" s="35" t="e">
        <f t="shared" si="57"/>
        <v>#VALUE!</v>
      </c>
      <c r="Q427" s="34" t="e">
        <f t="shared" si="64"/>
        <v>#DIV/0!</v>
      </c>
      <c r="R427" s="35"/>
    </row>
    <row r="428" spans="1:18" x14ac:dyDescent="0.3">
      <c r="A428" s="37" t="s">
        <v>77</v>
      </c>
      <c r="B428" s="33" t="s">
        <v>113</v>
      </c>
      <c r="C428" s="34">
        <v>1151.3</v>
      </c>
      <c r="D428" s="33">
        <v>80</v>
      </c>
      <c r="E428" s="33">
        <v>490</v>
      </c>
      <c r="F428" s="33">
        <v>1840</v>
      </c>
      <c r="G428" s="34">
        <v>378.7</v>
      </c>
      <c r="H428" s="34">
        <v>800</v>
      </c>
      <c r="I428" s="34">
        <v>2330</v>
      </c>
      <c r="J428" s="34">
        <v>394.95</v>
      </c>
      <c r="K428" s="34">
        <v>2724.95</v>
      </c>
      <c r="L428" s="33" t="s">
        <v>14</v>
      </c>
      <c r="M428" s="34" t="e">
        <f t="shared" si="62"/>
        <v>#DIV/0!</v>
      </c>
      <c r="N428" s="27"/>
      <c r="O428" s="34" t="e">
        <f t="shared" si="63"/>
        <v>#DIV/0!</v>
      </c>
      <c r="P428" s="35" t="e">
        <f t="shared" si="57"/>
        <v>#VALUE!</v>
      </c>
      <c r="Q428" s="34" t="e">
        <f t="shared" si="64"/>
        <v>#DIV/0!</v>
      </c>
      <c r="R428" s="35"/>
    </row>
    <row r="429" spans="1:18" x14ac:dyDescent="0.3">
      <c r="A429" s="37" t="s">
        <v>77</v>
      </c>
      <c r="B429" s="33" t="s">
        <v>113</v>
      </c>
      <c r="C429" s="34">
        <v>378.7</v>
      </c>
      <c r="D429" s="33">
        <v>0</v>
      </c>
      <c r="E429" s="33">
        <v>378.7</v>
      </c>
      <c r="F429" s="33"/>
      <c r="G429" s="34">
        <v>32.49</v>
      </c>
      <c r="H429" s="34">
        <v>0</v>
      </c>
      <c r="I429" s="34">
        <v>411.19</v>
      </c>
      <c r="J429" s="34">
        <v>41.36</v>
      </c>
      <c r="K429" s="34">
        <v>452.55</v>
      </c>
      <c r="L429" s="33" t="s">
        <v>14</v>
      </c>
      <c r="M429" s="34" t="e">
        <f t="shared" si="62"/>
        <v>#DIV/0!</v>
      </c>
      <c r="N429" s="27"/>
      <c r="O429" s="34" t="e">
        <f t="shared" si="63"/>
        <v>#DIV/0!</v>
      </c>
      <c r="P429" s="35" t="e">
        <f t="shared" si="57"/>
        <v>#VALUE!</v>
      </c>
      <c r="Q429" s="34" t="e">
        <f t="shared" si="64"/>
        <v>#DIV/0!</v>
      </c>
      <c r="R429" s="35"/>
    </row>
    <row r="430" spans="1:18" x14ac:dyDescent="0.3">
      <c r="A430" s="37" t="s">
        <v>77</v>
      </c>
      <c r="B430" s="33" t="s">
        <v>113</v>
      </c>
      <c r="C430" s="34">
        <v>1658</v>
      </c>
      <c r="D430" s="33">
        <v>80</v>
      </c>
      <c r="E430" s="33">
        <v>1075.1600000000001</v>
      </c>
      <c r="F430" s="33">
        <v>1840</v>
      </c>
      <c r="G430" s="34">
        <v>495.16</v>
      </c>
      <c r="H430" s="34">
        <v>762</v>
      </c>
      <c r="I430" s="34">
        <v>2915.16</v>
      </c>
      <c r="J430" s="34">
        <v>449.39</v>
      </c>
      <c r="K430" s="34">
        <v>3364.55</v>
      </c>
      <c r="L430" s="33" t="s">
        <v>14</v>
      </c>
      <c r="M430" s="34" t="e">
        <f t="shared" si="62"/>
        <v>#DIV/0!</v>
      </c>
      <c r="N430" s="27"/>
      <c r="O430" s="34" t="e">
        <f t="shared" si="63"/>
        <v>#DIV/0!</v>
      </c>
      <c r="P430" s="35" t="e">
        <f t="shared" ref="P430:P461" si="65">ROUND(((ROUNDDOWN(($T$1-A430)/30,0))/100)*O430,2)</f>
        <v>#VALUE!</v>
      </c>
      <c r="Q430" s="34" t="e">
        <f t="shared" si="64"/>
        <v>#DIV/0!</v>
      </c>
      <c r="R430" s="35"/>
    </row>
    <row r="431" spans="1:18" x14ac:dyDescent="0.3">
      <c r="A431" s="37" t="s">
        <v>77</v>
      </c>
      <c r="B431" s="33" t="s">
        <v>113</v>
      </c>
      <c r="C431" s="34">
        <v>1440</v>
      </c>
      <c r="D431" s="33">
        <v>72</v>
      </c>
      <c r="E431" s="33">
        <v>165.1</v>
      </c>
      <c r="F431" s="33">
        <v>1440</v>
      </c>
      <c r="G431" s="34">
        <v>165.1</v>
      </c>
      <c r="H431" s="34">
        <v>0</v>
      </c>
      <c r="I431" s="34">
        <v>1605.1</v>
      </c>
      <c r="J431" s="34">
        <v>296.32</v>
      </c>
      <c r="K431" s="34">
        <v>1901.42</v>
      </c>
      <c r="L431" s="33" t="s">
        <v>14</v>
      </c>
      <c r="M431" s="34" t="e">
        <f t="shared" si="62"/>
        <v>#DIV/0!</v>
      </c>
      <c r="N431" s="27"/>
      <c r="O431" s="34" t="e">
        <f t="shared" si="63"/>
        <v>#DIV/0!</v>
      </c>
      <c r="P431" s="35" t="e">
        <f t="shared" si="65"/>
        <v>#VALUE!</v>
      </c>
      <c r="Q431" s="34" t="e">
        <f t="shared" si="64"/>
        <v>#DIV/0!</v>
      </c>
      <c r="R431" s="35"/>
    </row>
    <row r="432" spans="1:18" x14ac:dyDescent="0.3">
      <c r="A432" s="32">
        <v>43497</v>
      </c>
      <c r="B432" s="33" t="s">
        <v>114</v>
      </c>
      <c r="C432" s="34">
        <v>620</v>
      </c>
      <c r="D432" s="36">
        <v>36.5</v>
      </c>
      <c r="E432" s="33">
        <v>74.260000000000005</v>
      </c>
      <c r="F432" s="33">
        <v>620</v>
      </c>
      <c r="G432" s="34">
        <v>74.260000000000005</v>
      </c>
      <c r="H432" s="34">
        <v>0</v>
      </c>
      <c r="I432" s="34">
        <v>694.26</v>
      </c>
      <c r="J432" s="34">
        <v>143.09</v>
      </c>
      <c r="K432" s="34">
        <v>837.35</v>
      </c>
      <c r="L432" s="33">
        <v>100147</v>
      </c>
      <c r="M432" s="34">
        <f t="shared" si="62"/>
        <v>19.02082191780822</v>
      </c>
      <c r="N432" s="27">
        <v>36.5</v>
      </c>
      <c r="O432" s="34">
        <v>0</v>
      </c>
      <c r="P432" s="35">
        <f t="shared" si="65"/>
        <v>0</v>
      </c>
      <c r="Q432" s="34">
        <f t="shared" si="64"/>
        <v>0</v>
      </c>
      <c r="R432" s="35">
        <v>409.55</v>
      </c>
    </row>
    <row r="433" spans="1:18" x14ac:dyDescent="0.3">
      <c r="A433" s="32">
        <v>43511</v>
      </c>
      <c r="B433" s="33" t="s">
        <v>114</v>
      </c>
      <c r="C433" s="34">
        <v>1555</v>
      </c>
      <c r="D433" s="33">
        <v>80</v>
      </c>
      <c r="E433" s="33">
        <v>179.58</v>
      </c>
      <c r="F433" s="33">
        <v>1555</v>
      </c>
      <c r="G433" s="34">
        <v>179.58</v>
      </c>
      <c r="H433" s="34">
        <v>0</v>
      </c>
      <c r="I433" s="34">
        <v>1734.58</v>
      </c>
      <c r="J433" s="34">
        <v>335.04</v>
      </c>
      <c r="K433" s="34">
        <v>2069.62</v>
      </c>
      <c r="L433" s="33">
        <v>100155</v>
      </c>
      <c r="M433" s="34">
        <f t="shared" si="62"/>
        <v>17.432964824120603</v>
      </c>
      <c r="N433" s="27">
        <v>99.5</v>
      </c>
      <c r="O433" s="34">
        <f>((N433-80)*M433)*0.5</f>
        <v>169.97140703517587</v>
      </c>
      <c r="P433" s="35">
        <f t="shared" si="65"/>
        <v>30.59</v>
      </c>
      <c r="Q433" s="34">
        <f t="shared" si="64"/>
        <v>254.95711055276382</v>
      </c>
      <c r="R433" s="35"/>
    </row>
    <row r="434" spans="1:18" x14ac:dyDescent="0.3">
      <c r="A434" s="32">
        <v>43525</v>
      </c>
      <c r="B434" s="33" t="s">
        <v>114</v>
      </c>
      <c r="C434" s="34">
        <v>1490</v>
      </c>
      <c r="D434" s="33">
        <v>80</v>
      </c>
      <c r="E434" s="33">
        <v>177.43</v>
      </c>
      <c r="F434" s="33">
        <v>1530</v>
      </c>
      <c r="G434" s="34">
        <v>177.43</v>
      </c>
      <c r="H434" s="34">
        <v>40</v>
      </c>
      <c r="I434" s="34">
        <v>1707.43</v>
      </c>
      <c r="J434" s="34">
        <v>332.31</v>
      </c>
      <c r="K434" s="34">
        <v>2039.74</v>
      </c>
      <c r="L434" s="33">
        <v>100158</v>
      </c>
      <c r="M434" s="34">
        <f t="shared" si="62"/>
        <v>18.971444444444444</v>
      </c>
      <c r="N434" s="27">
        <v>90</v>
      </c>
      <c r="O434" s="34">
        <f>((N434-80)*M434)*0.5</f>
        <v>94.857222222222219</v>
      </c>
      <c r="P434" s="35">
        <f t="shared" si="65"/>
        <v>17.07</v>
      </c>
      <c r="Q434" s="34">
        <f t="shared" si="64"/>
        <v>142.28583333333333</v>
      </c>
      <c r="R434" s="35"/>
    </row>
    <row r="435" spans="1:18" x14ac:dyDescent="0.3">
      <c r="A435" s="32">
        <v>43539</v>
      </c>
      <c r="B435" s="33" t="s">
        <v>114</v>
      </c>
      <c r="C435" s="34">
        <v>1389</v>
      </c>
      <c r="D435" s="33">
        <v>80</v>
      </c>
      <c r="E435" s="33">
        <v>312.86</v>
      </c>
      <c r="F435" s="33">
        <v>1589</v>
      </c>
      <c r="G435" s="34">
        <v>312.86</v>
      </c>
      <c r="H435" s="34">
        <v>200</v>
      </c>
      <c r="I435" s="34">
        <v>1901.86</v>
      </c>
      <c r="J435" s="34">
        <v>351.85</v>
      </c>
      <c r="K435" s="34">
        <v>2253.71</v>
      </c>
      <c r="L435" s="33">
        <v>100164</v>
      </c>
      <c r="M435" s="34">
        <f t="shared" si="62"/>
        <v>20.340748663101607</v>
      </c>
      <c r="N435" s="27">
        <v>93.5</v>
      </c>
      <c r="O435" s="34">
        <f>((N435-80)*M435)*0.5</f>
        <v>137.30005347593584</v>
      </c>
      <c r="P435" s="35">
        <f t="shared" si="65"/>
        <v>23.34</v>
      </c>
      <c r="Q435" s="34">
        <f t="shared" si="64"/>
        <v>205.95008021390376</v>
      </c>
      <c r="R435" s="35"/>
    </row>
    <row r="436" spans="1:18" x14ac:dyDescent="0.3">
      <c r="A436" s="32">
        <v>43553</v>
      </c>
      <c r="B436" s="33" t="s">
        <v>114</v>
      </c>
      <c r="C436" s="34">
        <v>629</v>
      </c>
      <c r="D436" s="36">
        <v>37</v>
      </c>
      <c r="E436" s="33"/>
      <c r="F436" s="33">
        <v>704.32</v>
      </c>
      <c r="G436" s="34">
        <v>75.319999999999993</v>
      </c>
      <c r="H436" s="34">
        <v>0</v>
      </c>
      <c r="I436" s="34">
        <v>704.32</v>
      </c>
      <c r="J436" s="34">
        <v>145.11000000000001</v>
      </c>
      <c r="K436" s="34">
        <v>849.43</v>
      </c>
      <c r="L436" s="33">
        <v>100169</v>
      </c>
      <c r="M436" s="34">
        <f t="shared" si="62"/>
        <v>19.035675675675677</v>
      </c>
      <c r="N436" s="27">
        <v>37</v>
      </c>
      <c r="O436" s="34">
        <v>0</v>
      </c>
      <c r="P436" s="35">
        <f t="shared" si="65"/>
        <v>0</v>
      </c>
      <c r="Q436" s="34">
        <f t="shared" si="64"/>
        <v>0</v>
      </c>
      <c r="R436" s="35"/>
    </row>
    <row r="437" spans="1:18" x14ac:dyDescent="0.3">
      <c r="A437" s="32">
        <v>43581</v>
      </c>
      <c r="B437" s="33" t="s">
        <v>114</v>
      </c>
      <c r="C437" s="34">
        <v>1584</v>
      </c>
      <c r="D437" s="33">
        <v>80</v>
      </c>
      <c r="E437" s="33">
        <v>311.62</v>
      </c>
      <c r="F437" s="33">
        <v>1584</v>
      </c>
      <c r="G437" s="34">
        <v>311.62</v>
      </c>
      <c r="H437" s="34">
        <v>0</v>
      </c>
      <c r="I437" s="34">
        <v>1895.62</v>
      </c>
      <c r="J437" s="34">
        <v>338.19</v>
      </c>
      <c r="K437" s="34">
        <v>2233.81</v>
      </c>
      <c r="L437" s="33" t="s">
        <v>14</v>
      </c>
      <c r="M437" s="34">
        <f t="shared" si="62"/>
        <v>21.541136363636362</v>
      </c>
      <c r="N437" s="27">
        <v>88</v>
      </c>
      <c r="O437" s="34">
        <f t="shared" ref="O437:O442" si="66">((N437-80)*M437)*0.5</f>
        <v>86.164545454545447</v>
      </c>
      <c r="P437" s="35">
        <f t="shared" si="65"/>
        <v>13.79</v>
      </c>
      <c r="Q437" s="34">
        <f t="shared" si="64"/>
        <v>129.24681818181818</v>
      </c>
      <c r="R437" s="35"/>
    </row>
    <row r="438" spans="1:18" x14ac:dyDescent="0.3">
      <c r="A438" s="32">
        <v>43595</v>
      </c>
      <c r="B438" s="33" t="s">
        <v>114</v>
      </c>
      <c r="C438" s="34">
        <v>1656</v>
      </c>
      <c r="D438" s="33">
        <v>80</v>
      </c>
      <c r="E438" s="33">
        <v>329.51</v>
      </c>
      <c r="F438" s="33">
        <v>1656</v>
      </c>
      <c r="G438" s="34">
        <v>329.51</v>
      </c>
      <c r="H438" s="34">
        <v>0</v>
      </c>
      <c r="I438" s="34">
        <v>1985.51</v>
      </c>
      <c r="J438" s="34">
        <v>344.99</v>
      </c>
      <c r="K438" s="34">
        <v>2330.5</v>
      </c>
      <c r="L438" s="33" t="s">
        <v>14</v>
      </c>
      <c r="M438" s="34">
        <f t="shared" si="62"/>
        <v>21.581630434782607</v>
      </c>
      <c r="N438" s="27">
        <v>92</v>
      </c>
      <c r="O438" s="34">
        <f t="shared" si="66"/>
        <v>129.48978260869563</v>
      </c>
      <c r="P438" s="35">
        <f t="shared" si="65"/>
        <v>20.72</v>
      </c>
      <c r="Q438" s="34">
        <f t="shared" si="64"/>
        <v>194.23467391304345</v>
      </c>
      <c r="R438" s="35"/>
    </row>
    <row r="439" spans="1:18" x14ac:dyDescent="0.3">
      <c r="A439" s="32">
        <v>43609</v>
      </c>
      <c r="B439" s="33" t="s">
        <v>114</v>
      </c>
      <c r="C439" s="34">
        <v>1863</v>
      </c>
      <c r="D439" s="33">
        <v>80</v>
      </c>
      <c r="E439" s="33">
        <v>381</v>
      </c>
      <c r="F439" s="33">
        <v>1862</v>
      </c>
      <c r="G439" s="34">
        <v>380.96</v>
      </c>
      <c r="H439" s="34">
        <v>0</v>
      </c>
      <c r="I439" s="34">
        <v>2243.96</v>
      </c>
      <c r="J439" s="34">
        <v>369.02</v>
      </c>
      <c r="K439" s="34">
        <v>2612.98</v>
      </c>
      <c r="L439" s="33" t="s">
        <v>14</v>
      </c>
      <c r="M439" s="34">
        <f t="shared" si="62"/>
        <v>21.671497584541061</v>
      </c>
      <c r="N439" s="27">
        <v>103.5</v>
      </c>
      <c r="O439" s="34">
        <f t="shared" si="66"/>
        <v>254.64009661835746</v>
      </c>
      <c r="P439" s="35">
        <f t="shared" si="65"/>
        <v>38.200000000000003</v>
      </c>
      <c r="Q439" s="34">
        <f t="shared" si="64"/>
        <v>381.96014492753619</v>
      </c>
      <c r="R439" s="35"/>
    </row>
    <row r="440" spans="1:18" x14ac:dyDescent="0.3">
      <c r="A440" s="32">
        <v>43623</v>
      </c>
      <c r="B440" s="33" t="s">
        <v>114</v>
      </c>
      <c r="C440" s="34">
        <v>1611</v>
      </c>
      <c r="D440" s="33">
        <v>80</v>
      </c>
      <c r="E440" s="33">
        <v>300.33</v>
      </c>
      <c r="F440" s="33">
        <v>1629</v>
      </c>
      <c r="G440" s="34">
        <v>318.33</v>
      </c>
      <c r="H440" s="34">
        <v>0</v>
      </c>
      <c r="I440" s="34">
        <v>1929.33</v>
      </c>
      <c r="J440" s="34">
        <v>339.77</v>
      </c>
      <c r="K440" s="34">
        <v>2269.1</v>
      </c>
      <c r="L440" s="33" t="s">
        <v>14</v>
      </c>
      <c r="M440" s="34">
        <f t="shared" si="62"/>
        <v>21.55675977653631</v>
      </c>
      <c r="N440" s="27">
        <v>89.5</v>
      </c>
      <c r="O440" s="34">
        <f t="shared" si="66"/>
        <v>102.39460893854748</v>
      </c>
      <c r="P440" s="35">
        <f t="shared" si="65"/>
        <v>15.36</v>
      </c>
      <c r="Q440" s="34">
        <f t="shared" si="64"/>
        <v>153.59191340782121</v>
      </c>
      <c r="R440" s="35"/>
    </row>
    <row r="441" spans="1:18" x14ac:dyDescent="0.3">
      <c r="A441" s="32">
        <v>43637</v>
      </c>
      <c r="B441" s="33" t="s">
        <v>114</v>
      </c>
      <c r="C441" s="34">
        <v>1836</v>
      </c>
      <c r="D441" s="33">
        <v>80</v>
      </c>
      <c r="E441" s="33">
        <v>300</v>
      </c>
      <c r="F441" s="33">
        <v>1775.44</v>
      </c>
      <c r="G441" s="34">
        <v>239.44</v>
      </c>
      <c r="H441" s="34">
        <v>0</v>
      </c>
      <c r="I441" s="34">
        <v>2075.44</v>
      </c>
      <c r="J441" s="34">
        <v>353.35</v>
      </c>
      <c r="K441" s="34">
        <v>2428.79</v>
      </c>
      <c r="L441" s="33" t="s">
        <v>14</v>
      </c>
      <c r="M441" s="34">
        <f t="shared" si="62"/>
        <v>19.672417061611373</v>
      </c>
      <c r="N441" s="27">
        <v>105.5</v>
      </c>
      <c r="O441" s="34">
        <f t="shared" si="66"/>
        <v>250.82331753554502</v>
      </c>
      <c r="P441" s="35">
        <f t="shared" si="65"/>
        <v>35.119999999999997</v>
      </c>
      <c r="Q441" s="34">
        <f t="shared" si="64"/>
        <v>376.23497630331752</v>
      </c>
      <c r="R441" s="35"/>
    </row>
    <row r="442" spans="1:18" x14ac:dyDescent="0.3">
      <c r="A442" s="32">
        <v>43651</v>
      </c>
      <c r="B442" s="33" t="s">
        <v>114</v>
      </c>
      <c r="C442" s="34">
        <v>1615</v>
      </c>
      <c r="D442" s="33">
        <v>80</v>
      </c>
      <c r="E442" s="33">
        <v>191.25</v>
      </c>
      <c r="F442" s="33">
        <v>1615</v>
      </c>
      <c r="G442" s="34">
        <v>191.25</v>
      </c>
      <c r="H442" s="34">
        <v>0</v>
      </c>
      <c r="I442" s="34">
        <v>1806.25</v>
      </c>
      <c r="J442" s="34">
        <v>328.34</v>
      </c>
      <c r="K442" s="34">
        <v>2134.59</v>
      </c>
      <c r="L442" s="33" t="s">
        <v>14</v>
      </c>
      <c r="M442" s="34">
        <f t="shared" si="62"/>
        <v>21.25</v>
      </c>
      <c r="N442" s="27">
        <v>85</v>
      </c>
      <c r="O442" s="34">
        <f t="shared" si="66"/>
        <v>53.125</v>
      </c>
      <c r="P442" s="35">
        <f t="shared" si="65"/>
        <v>7.44</v>
      </c>
      <c r="Q442" s="34">
        <f t="shared" si="64"/>
        <v>79.6875</v>
      </c>
      <c r="R442" s="35"/>
    </row>
    <row r="443" spans="1:18" x14ac:dyDescent="0.3">
      <c r="A443" s="32">
        <v>43665</v>
      </c>
      <c r="B443" s="33" t="s">
        <v>114</v>
      </c>
      <c r="C443" s="34">
        <v>1458</v>
      </c>
      <c r="D443" s="36">
        <v>49</v>
      </c>
      <c r="E443" s="33">
        <v>171.24</v>
      </c>
      <c r="F443" s="33">
        <v>1458</v>
      </c>
      <c r="G443" s="34">
        <v>171.24</v>
      </c>
      <c r="H443" s="34">
        <v>0</v>
      </c>
      <c r="I443" s="34">
        <v>1629.24</v>
      </c>
      <c r="J443" s="34">
        <v>311.89</v>
      </c>
      <c r="K443" s="34">
        <v>1941.13</v>
      </c>
      <c r="L443" s="33" t="s">
        <v>14</v>
      </c>
      <c r="M443" s="34">
        <f t="shared" si="62"/>
        <v>20.114074074074075</v>
      </c>
      <c r="N443" s="27">
        <v>81</v>
      </c>
      <c r="O443" s="38">
        <f>(M443*0.5)*9</f>
        <v>90.513333333333335</v>
      </c>
      <c r="P443" s="35">
        <f t="shared" si="65"/>
        <v>11.77</v>
      </c>
      <c r="Q443" s="34">
        <f t="shared" si="64"/>
        <v>135.77000000000001</v>
      </c>
      <c r="R443" s="35"/>
    </row>
    <row r="444" spans="1:18" x14ac:dyDescent="0.3">
      <c r="A444" s="32">
        <v>43679</v>
      </c>
      <c r="B444" s="33" t="s">
        <v>114</v>
      </c>
      <c r="C444" s="34">
        <v>1809</v>
      </c>
      <c r="D444" s="33">
        <v>80</v>
      </c>
      <c r="E444" s="33">
        <v>233.55</v>
      </c>
      <c r="F444" s="33">
        <v>1809</v>
      </c>
      <c r="G444" s="34">
        <v>233.56</v>
      </c>
      <c r="H444" s="34">
        <v>-0.01</v>
      </c>
      <c r="I444" s="34">
        <v>2042.55</v>
      </c>
      <c r="J444" s="34">
        <v>350.3</v>
      </c>
      <c r="K444" s="34">
        <v>2392.85</v>
      </c>
      <c r="L444" s="33" t="s">
        <v>14</v>
      </c>
      <c r="M444" s="34">
        <f t="shared" si="62"/>
        <v>20.323880597014924</v>
      </c>
      <c r="N444" s="27">
        <v>100.5</v>
      </c>
      <c r="O444" s="34">
        <f>((N444-80)*M444)*0.5</f>
        <v>208.31977611940297</v>
      </c>
      <c r="P444" s="35">
        <f t="shared" si="65"/>
        <v>27.08</v>
      </c>
      <c r="Q444" s="34">
        <f t="shared" si="64"/>
        <v>312.47966417910447</v>
      </c>
      <c r="R444" s="35"/>
    </row>
    <row r="445" spans="1:18" x14ac:dyDescent="0.3">
      <c r="A445" s="32">
        <v>43693</v>
      </c>
      <c r="B445" s="33" t="s">
        <v>114</v>
      </c>
      <c r="C445" s="34">
        <v>1948</v>
      </c>
      <c r="D445" s="33">
        <v>80</v>
      </c>
      <c r="E445" s="33">
        <v>263.87</v>
      </c>
      <c r="F445" s="33">
        <v>1948</v>
      </c>
      <c r="G445" s="34">
        <v>263.87</v>
      </c>
      <c r="H445" s="34">
        <v>0</v>
      </c>
      <c r="I445" s="34">
        <v>2211.87</v>
      </c>
      <c r="J445" s="34">
        <v>366.03</v>
      </c>
      <c r="K445" s="34">
        <v>2577.9</v>
      </c>
      <c r="L445" s="33" t="s">
        <v>14</v>
      </c>
      <c r="M445" s="34">
        <f t="shared" si="62"/>
        <v>22.80278350515464</v>
      </c>
      <c r="N445" s="27">
        <v>97</v>
      </c>
      <c r="O445" s="34">
        <f>((N445-80)*M445)*0.5</f>
        <v>193.82365979381444</v>
      </c>
      <c r="P445" s="35">
        <f t="shared" si="65"/>
        <v>23.26</v>
      </c>
      <c r="Q445" s="34">
        <f t="shared" si="64"/>
        <v>290.73548969072169</v>
      </c>
      <c r="R445" s="35"/>
    </row>
    <row r="446" spans="1:18" x14ac:dyDescent="0.3">
      <c r="A446" s="32">
        <v>43707</v>
      </c>
      <c r="B446" s="33" t="s">
        <v>114</v>
      </c>
      <c r="C446" s="34">
        <v>2126</v>
      </c>
      <c r="D446" s="33">
        <v>80</v>
      </c>
      <c r="E446" s="33">
        <v>309.23</v>
      </c>
      <c r="F446" s="33">
        <v>2156</v>
      </c>
      <c r="G446" s="34">
        <v>309.23</v>
      </c>
      <c r="H446" s="34">
        <v>30</v>
      </c>
      <c r="I446" s="34">
        <v>2465.23</v>
      </c>
      <c r="J446" s="34">
        <v>389.55</v>
      </c>
      <c r="K446" s="34">
        <v>2854.78</v>
      </c>
      <c r="L446" s="33" t="s">
        <v>14</v>
      </c>
      <c r="M446" s="34">
        <f t="shared" si="62"/>
        <v>21.720088105726873</v>
      </c>
      <c r="N446" s="27">
        <v>113.5</v>
      </c>
      <c r="O446" s="34">
        <f>((N446-80)*M446)*0.5</f>
        <v>363.81147577092514</v>
      </c>
      <c r="P446" s="35">
        <f t="shared" si="65"/>
        <v>43.66</v>
      </c>
      <c r="Q446" s="34">
        <f t="shared" si="64"/>
        <v>545.71721365638768</v>
      </c>
      <c r="R446" s="35"/>
    </row>
    <row r="447" spans="1:18" x14ac:dyDescent="0.3">
      <c r="A447" s="32">
        <v>43721</v>
      </c>
      <c r="B447" s="33" t="s">
        <v>114</v>
      </c>
      <c r="C447" s="34">
        <v>1653</v>
      </c>
      <c r="D447" s="36">
        <v>59</v>
      </c>
      <c r="E447" s="33">
        <v>199.54</v>
      </c>
      <c r="F447" s="33">
        <v>1653</v>
      </c>
      <c r="G447" s="34">
        <v>199.54</v>
      </c>
      <c r="H447" s="34">
        <v>0</v>
      </c>
      <c r="I447" s="34">
        <v>1852.54</v>
      </c>
      <c r="J447" s="34">
        <v>332.64</v>
      </c>
      <c r="K447" s="34">
        <v>2185.1799999999998</v>
      </c>
      <c r="L447" s="33" t="s">
        <v>14</v>
      </c>
      <c r="M447" s="34">
        <f t="shared" si="62"/>
        <v>19.098350515463917</v>
      </c>
      <c r="N447" s="27">
        <v>97</v>
      </c>
      <c r="O447" s="38">
        <f>(M447*0.5)*19</f>
        <v>181.4343298969072</v>
      </c>
      <c r="P447" s="35">
        <f t="shared" si="65"/>
        <v>19.96</v>
      </c>
      <c r="Q447" s="34">
        <f t="shared" si="64"/>
        <v>272.15149484536079</v>
      </c>
      <c r="R447" s="35"/>
    </row>
    <row r="448" spans="1:18" x14ac:dyDescent="0.3">
      <c r="A448" s="37" t="s">
        <v>77</v>
      </c>
      <c r="B448" s="33" t="s">
        <v>115</v>
      </c>
      <c r="C448" s="34">
        <v>1438</v>
      </c>
      <c r="D448" s="33">
        <v>80</v>
      </c>
      <c r="E448" s="33"/>
      <c r="F448" s="33"/>
      <c r="G448" s="34">
        <v>186.7</v>
      </c>
      <c r="H448" s="34">
        <v>200</v>
      </c>
      <c r="I448" s="34">
        <v>1824.7</v>
      </c>
      <c r="J448" s="34">
        <v>344.1</v>
      </c>
      <c r="K448" s="34">
        <v>2168.8000000000002</v>
      </c>
      <c r="L448" s="33">
        <v>100149</v>
      </c>
      <c r="M448" s="34" t="e">
        <f t="shared" si="62"/>
        <v>#DIV/0!</v>
      </c>
      <c r="N448" s="27"/>
      <c r="O448" s="34" t="e">
        <f>((N448-80)*M448)*0.5</f>
        <v>#DIV/0!</v>
      </c>
      <c r="P448" s="35" t="e">
        <f t="shared" si="65"/>
        <v>#VALUE!</v>
      </c>
      <c r="Q448" s="34" t="e">
        <f t="shared" si="64"/>
        <v>#DIV/0!</v>
      </c>
      <c r="R448" s="35">
        <v>409.55</v>
      </c>
    </row>
    <row r="449" spans="1:18" x14ac:dyDescent="0.3">
      <c r="A449" s="37" t="s">
        <v>77</v>
      </c>
      <c r="B449" s="33" t="s">
        <v>115</v>
      </c>
      <c r="C449" s="34">
        <v>1252</v>
      </c>
      <c r="D449" s="33">
        <v>80</v>
      </c>
      <c r="E449" s="33"/>
      <c r="F449" s="33"/>
      <c r="G449" s="34">
        <v>191.34</v>
      </c>
      <c r="H449" s="34">
        <v>440</v>
      </c>
      <c r="I449" s="34">
        <v>1883.34</v>
      </c>
      <c r="J449" s="34">
        <v>350.01</v>
      </c>
      <c r="K449" s="34">
        <v>2233.35</v>
      </c>
      <c r="L449" s="33">
        <v>100157</v>
      </c>
      <c r="M449" s="34" t="e">
        <f t="shared" si="62"/>
        <v>#DIV/0!</v>
      </c>
      <c r="N449" s="27"/>
      <c r="O449" s="34" t="e">
        <f>((N449-80)*M449)*0.5</f>
        <v>#DIV/0!</v>
      </c>
      <c r="P449" s="35" t="e">
        <f t="shared" si="65"/>
        <v>#VALUE!</v>
      </c>
      <c r="Q449" s="34" t="e">
        <f t="shared" si="64"/>
        <v>#DIV/0!</v>
      </c>
      <c r="R449" s="35"/>
    </row>
    <row r="450" spans="1:18" x14ac:dyDescent="0.3">
      <c r="A450" s="37" t="s">
        <v>77</v>
      </c>
      <c r="B450" s="33" t="s">
        <v>115</v>
      </c>
      <c r="C450" s="34">
        <v>1313</v>
      </c>
      <c r="D450" s="33">
        <v>80</v>
      </c>
      <c r="E450" s="33"/>
      <c r="F450" s="33"/>
      <c r="G450" s="34">
        <v>503.88</v>
      </c>
      <c r="H450" s="34">
        <v>604</v>
      </c>
      <c r="I450" s="34">
        <v>2420.88</v>
      </c>
      <c r="J450" s="34">
        <v>404.07</v>
      </c>
      <c r="K450" s="34">
        <v>2824.95</v>
      </c>
      <c r="L450" s="33" t="s">
        <v>14</v>
      </c>
      <c r="M450" s="34" t="e">
        <f t="shared" si="62"/>
        <v>#DIV/0!</v>
      </c>
      <c r="N450" s="27"/>
      <c r="O450" s="34" t="e">
        <f>((N450-80)*M450)*0.5</f>
        <v>#DIV/0!</v>
      </c>
      <c r="P450" s="35" t="e">
        <f t="shared" si="65"/>
        <v>#VALUE!</v>
      </c>
      <c r="Q450" s="34" t="e">
        <f t="shared" si="64"/>
        <v>#DIV/0!</v>
      </c>
      <c r="R450" s="35"/>
    </row>
    <row r="451" spans="1:18" x14ac:dyDescent="0.3">
      <c r="A451" s="37" t="s">
        <v>77</v>
      </c>
      <c r="B451" s="33" t="s">
        <v>115</v>
      </c>
      <c r="C451" s="34">
        <v>100</v>
      </c>
      <c r="D451" s="33">
        <v>5.5</v>
      </c>
      <c r="E451" s="33"/>
      <c r="F451" s="33"/>
      <c r="G451" s="34">
        <v>11.75</v>
      </c>
      <c r="H451" s="34">
        <v>0</v>
      </c>
      <c r="I451" s="34">
        <v>111.75</v>
      </c>
      <c r="J451" s="34">
        <v>22.28</v>
      </c>
      <c r="K451" s="34">
        <v>134.03</v>
      </c>
      <c r="L451" s="33" t="s">
        <v>14</v>
      </c>
      <c r="M451" s="34" t="e">
        <f t="shared" si="62"/>
        <v>#DIV/0!</v>
      </c>
      <c r="N451" s="27"/>
      <c r="O451" s="34" t="e">
        <f>((N451-80)*M451)*0.5</f>
        <v>#DIV/0!</v>
      </c>
      <c r="P451" s="35" t="e">
        <f t="shared" si="65"/>
        <v>#VALUE!</v>
      </c>
      <c r="Q451" s="34" t="e">
        <f t="shared" si="64"/>
        <v>#DIV/0!</v>
      </c>
      <c r="R451" s="35"/>
    </row>
    <row r="452" spans="1:18" x14ac:dyDescent="0.3">
      <c r="A452" s="37">
        <v>43785</v>
      </c>
      <c r="B452" s="36" t="s">
        <v>116</v>
      </c>
      <c r="C452" s="34"/>
      <c r="D452" s="31">
        <v>12</v>
      </c>
      <c r="E452" s="33"/>
      <c r="F452" s="33"/>
      <c r="G452" s="34"/>
      <c r="H452" s="34"/>
      <c r="I452" s="34"/>
      <c r="J452" s="34"/>
      <c r="K452" s="34"/>
      <c r="L452" s="33"/>
      <c r="M452" s="34"/>
      <c r="N452" s="27"/>
      <c r="O452" s="34"/>
      <c r="P452" s="35">
        <f t="shared" si="65"/>
        <v>0</v>
      </c>
      <c r="Q452" s="34"/>
      <c r="R452" s="35"/>
    </row>
    <row r="453" spans="1:18" x14ac:dyDescent="0.3">
      <c r="A453" s="37">
        <v>43799</v>
      </c>
      <c r="B453" s="36" t="s">
        <v>116</v>
      </c>
      <c r="C453" s="34"/>
      <c r="D453" s="31">
        <v>82</v>
      </c>
      <c r="E453" s="33"/>
      <c r="F453" s="33"/>
      <c r="G453" s="34"/>
      <c r="H453" s="34"/>
      <c r="I453" s="34"/>
      <c r="J453" s="34"/>
      <c r="K453" s="34"/>
      <c r="L453" s="33"/>
      <c r="M453" s="34"/>
      <c r="N453" s="27"/>
      <c r="O453" s="34"/>
      <c r="P453" s="35">
        <f t="shared" si="65"/>
        <v>0</v>
      </c>
      <c r="Q453" s="34"/>
      <c r="R453" s="35"/>
    </row>
    <row r="454" spans="1:18" x14ac:dyDescent="0.3">
      <c r="A454" s="37">
        <v>43813</v>
      </c>
      <c r="B454" s="36" t="s">
        <v>116</v>
      </c>
      <c r="C454" s="34"/>
      <c r="D454" s="31">
        <v>88.5</v>
      </c>
      <c r="E454" s="33"/>
      <c r="F454" s="33"/>
      <c r="G454" s="34"/>
      <c r="H454" s="34"/>
      <c r="I454" s="34"/>
      <c r="J454" s="34"/>
      <c r="K454" s="34"/>
      <c r="L454" s="33"/>
      <c r="M454" s="34"/>
      <c r="N454" s="27"/>
      <c r="O454" s="34"/>
      <c r="P454" s="35">
        <f t="shared" si="65"/>
        <v>0</v>
      </c>
      <c r="Q454" s="34"/>
      <c r="R454" s="35"/>
    </row>
    <row r="455" spans="1:18" x14ac:dyDescent="0.3">
      <c r="A455" s="37">
        <v>43827</v>
      </c>
      <c r="B455" s="36" t="s">
        <v>116</v>
      </c>
      <c r="C455" s="34"/>
      <c r="D455" s="31">
        <v>67.5</v>
      </c>
      <c r="E455" s="33"/>
      <c r="F455" s="33"/>
      <c r="G455" s="34"/>
      <c r="H455" s="34"/>
      <c r="I455" s="34"/>
      <c r="J455" s="34"/>
      <c r="K455" s="34"/>
      <c r="L455" s="33"/>
      <c r="M455" s="34"/>
      <c r="N455" s="27"/>
      <c r="O455" s="34"/>
      <c r="P455" s="35">
        <f t="shared" si="65"/>
        <v>0</v>
      </c>
      <c r="Q455" s="34"/>
      <c r="R455" s="35"/>
    </row>
    <row r="456" spans="1:18" x14ac:dyDescent="0.3">
      <c r="A456" s="37">
        <v>43841</v>
      </c>
      <c r="B456" s="36" t="s">
        <v>116</v>
      </c>
      <c r="C456" s="34"/>
      <c r="D456" s="31">
        <v>79.5</v>
      </c>
      <c r="E456" s="33"/>
      <c r="F456" s="33"/>
      <c r="G456" s="34"/>
      <c r="H456" s="34"/>
      <c r="I456" s="34"/>
      <c r="J456" s="34"/>
      <c r="K456" s="34"/>
      <c r="L456" s="33"/>
      <c r="M456" s="34"/>
      <c r="N456" s="27"/>
      <c r="O456" s="34"/>
      <c r="P456" s="35">
        <f t="shared" si="65"/>
        <v>0</v>
      </c>
      <c r="Q456" s="34"/>
      <c r="R456" s="35"/>
    </row>
    <row r="457" spans="1:18" x14ac:dyDescent="0.3">
      <c r="A457" s="37">
        <v>43490</v>
      </c>
      <c r="B457" s="36" t="s">
        <v>116</v>
      </c>
      <c r="C457" s="34"/>
      <c r="D457" s="31">
        <v>62</v>
      </c>
      <c r="E457" s="33"/>
      <c r="F457" s="33"/>
      <c r="G457" s="34"/>
      <c r="H457" s="34"/>
      <c r="I457" s="34"/>
      <c r="J457" s="34"/>
      <c r="K457" s="34"/>
      <c r="L457" s="33"/>
      <c r="M457" s="34"/>
      <c r="N457" s="27"/>
      <c r="O457" s="34"/>
      <c r="P457" s="35">
        <f t="shared" si="65"/>
        <v>0</v>
      </c>
      <c r="Q457" s="34"/>
      <c r="R457" s="35"/>
    </row>
    <row r="458" spans="1:18" x14ac:dyDescent="0.3">
      <c r="A458" s="37">
        <v>43869</v>
      </c>
      <c r="B458" s="36" t="s">
        <v>116</v>
      </c>
      <c r="C458" s="34"/>
      <c r="D458" s="31">
        <v>97</v>
      </c>
      <c r="E458" s="33"/>
      <c r="F458" s="33"/>
      <c r="G458" s="34"/>
      <c r="H458" s="34"/>
      <c r="I458" s="34"/>
      <c r="J458" s="34"/>
      <c r="K458" s="34"/>
      <c r="L458" s="33"/>
      <c r="M458" s="34"/>
      <c r="N458" s="27"/>
      <c r="O458" s="34"/>
      <c r="P458" s="35">
        <f t="shared" si="65"/>
        <v>0</v>
      </c>
      <c r="Q458" s="34"/>
      <c r="R458" s="35"/>
    </row>
    <row r="459" spans="1:18" x14ac:dyDescent="0.3">
      <c r="A459" s="37">
        <v>43883</v>
      </c>
      <c r="B459" s="36" t="s">
        <v>116</v>
      </c>
      <c r="C459" s="34"/>
      <c r="D459" s="31">
        <v>102.5</v>
      </c>
      <c r="E459" s="33"/>
      <c r="F459" s="33"/>
      <c r="G459" s="34"/>
      <c r="H459" s="34"/>
      <c r="I459" s="34"/>
      <c r="J459" s="34"/>
      <c r="K459" s="34"/>
      <c r="L459" s="33"/>
      <c r="M459" s="34"/>
      <c r="N459" s="27"/>
      <c r="O459" s="34"/>
      <c r="P459" s="35">
        <f t="shared" si="65"/>
        <v>0</v>
      </c>
      <c r="Q459" s="34"/>
      <c r="R459" s="35"/>
    </row>
    <row r="460" spans="1:18" x14ac:dyDescent="0.3">
      <c r="A460" s="32">
        <v>43441</v>
      </c>
      <c r="B460" s="33" t="s">
        <v>117</v>
      </c>
      <c r="C460" s="34">
        <v>720</v>
      </c>
      <c r="D460" s="36">
        <v>40</v>
      </c>
      <c r="E460" s="33">
        <v>104.69</v>
      </c>
      <c r="F460" s="33">
        <v>720</v>
      </c>
      <c r="G460" s="34">
        <v>104.69</v>
      </c>
      <c r="H460" s="34">
        <v>0</v>
      </c>
      <c r="I460" s="34">
        <v>824.69</v>
      </c>
      <c r="J460" s="34">
        <v>163.22999999999999</v>
      </c>
      <c r="K460" s="34">
        <v>987.92</v>
      </c>
      <c r="L460" s="33">
        <v>100109</v>
      </c>
      <c r="M460" s="34">
        <f t="shared" ref="M460:M504" si="67">(E460+F460)/N460</f>
        <v>20.617250000000002</v>
      </c>
      <c r="N460" s="27">
        <v>40</v>
      </c>
      <c r="O460" s="34">
        <v>0</v>
      </c>
      <c r="P460" s="35">
        <f t="shared" si="65"/>
        <v>0</v>
      </c>
      <c r="Q460" s="34">
        <f t="shared" ref="Q460:Q504" si="68">O460*1.5</f>
        <v>0</v>
      </c>
      <c r="R460" s="35">
        <v>409.55</v>
      </c>
    </row>
    <row r="461" spans="1:18" x14ac:dyDescent="0.3">
      <c r="A461" s="32">
        <v>43455</v>
      </c>
      <c r="B461" s="33" t="s">
        <v>117</v>
      </c>
      <c r="C461" s="34">
        <v>1328</v>
      </c>
      <c r="D461" s="33">
        <v>80</v>
      </c>
      <c r="E461" s="33">
        <v>341.59</v>
      </c>
      <c r="F461" s="33">
        <v>1760</v>
      </c>
      <c r="G461" s="34">
        <v>373.59</v>
      </c>
      <c r="H461" s="34">
        <v>400</v>
      </c>
      <c r="I461" s="34">
        <v>2101.59</v>
      </c>
      <c r="J461" s="34">
        <v>371.96</v>
      </c>
      <c r="K461" s="34">
        <v>2473.5500000000002</v>
      </c>
      <c r="L461" s="33">
        <v>100117</v>
      </c>
      <c r="M461" s="34">
        <f t="shared" si="67"/>
        <v>21.891562500000003</v>
      </c>
      <c r="N461" s="27">
        <v>96</v>
      </c>
      <c r="O461" s="34">
        <f>((N461-80)*M461)*0.5</f>
        <v>175.13250000000002</v>
      </c>
      <c r="P461" s="35">
        <f t="shared" si="65"/>
        <v>35.03</v>
      </c>
      <c r="Q461" s="34">
        <f t="shared" si="68"/>
        <v>262.69875000000002</v>
      </c>
      <c r="R461" s="35"/>
    </row>
    <row r="462" spans="1:18" x14ac:dyDescent="0.3">
      <c r="A462" s="32">
        <v>43469</v>
      </c>
      <c r="B462" s="33" t="s">
        <v>117</v>
      </c>
      <c r="C462" s="34">
        <v>1144</v>
      </c>
      <c r="D462" s="36">
        <v>51</v>
      </c>
      <c r="E462" s="33">
        <v>374.48</v>
      </c>
      <c r="F462" s="33">
        <v>1440</v>
      </c>
      <c r="G462" s="34">
        <v>320.48</v>
      </c>
      <c r="H462" s="34">
        <v>350</v>
      </c>
      <c r="I462" s="34">
        <v>1814.48</v>
      </c>
      <c r="J462" s="34">
        <v>343.08</v>
      </c>
      <c r="K462" s="34">
        <v>2157.56</v>
      </c>
      <c r="L462" s="33">
        <v>100123</v>
      </c>
      <c r="M462" s="34">
        <f t="shared" si="67"/>
        <v>21.861204819277109</v>
      </c>
      <c r="N462" s="27">
        <v>83</v>
      </c>
      <c r="O462" s="38">
        <f>(M462*0.5)*11</f>
        <v>120.23662650602409</v>
      </c>
      <c r="P462" s="35">
        <f t="shared" ref="P462:P493" si="69">ROUND(((ROUNDDOWN(($T$1-A462)/30,0))/100)*O462,2)</f>
        <v>24.05</v>
      </c>
      <c r="Q462" s="34">
        <f t="shared" si="68"/>
        <v>180.35493975903614</v>
      </c>
      <c r="R462" s="35"/>
    </row>
    <row r="463" spans="1:18" x14ac:dyDescent="0.3">
      <c r="A463" s="37" t="s">
        <v>77</v>
      </c>
      <c r="B463" s="33" t="s">
        <v>117</v>
      </c>
      <c r="C463" s="34">
        <v>1136</v>
      </c>
      <c r="D463" s="33">
        <v>80</v>
      </c>
      <c r="E463" s="33">
        <v>306.51</v>
      </c>
      <c r="F463" s="33">
        <v>1440</v>
      </c>
      <c r="G463" s="34">
        <v>180.51</v>
      </c>
      <c r="H463" s="34">
        <v>430</v>
      </c>
      <c r="I463" s="34">
        <v>1746.51</v>
      </c>
      <c r="J463" s="34">
        <v>336.23</v>
      </c>
      <c r="K463" s="34">
        <v>2082.7399999999998</v>
      </c>
      <c r="L463" s="33">
        <v>100132</v>
      </c>
      <c r="M463" s="34" t="e">
        <f t="shared" si="67"/>
        <v>#DIV/0!</v>
      </c>
      <c r="N463" s="27"/>
      <c r="O463" s="34" t="e">
        <f>((N463-80)*M463)*0.5</f>
        <v>#DIV/0!</v>
      </c>
      <c r="P463" s="35" t="e">
        <f t="shared" si="69"/>
        <v>#VALUE!</v>
      </c>
      <c r="Q463" s="34" t="e">
        <f t="shared" si="68"/>
        <v>#DIV/0!</v>
      </c>
      <c r="R463" s="35"/>
    </row>
    <row r="464" spans="1:18" x14ac:dyDescent="0.3">
      <c r="A464" s="32">
        <v>43497</v>
      </c>
      <c r="B464" s="33" t="s">
        <v>117</v>
      </c>
      <c r="C464" s="34">
        <v>1648</v>
      </c>
      <c r="D464" s="33">
        <v>80</v>
      </c>
      <c r="E464" s="33">
        <v>566.75</v>
      </c>
      <c r="F464" s="33">
        <v>1440</v>
      </c>
      <c r="G464" s="34">
        <v>358.75</v>
      </c>
      <c r="H464" s="34">
        <v>0</v>
      </c>
      <c r="I464" s="34">
        <v>2006.75</v>
      </c>
      <c r="J464" s="34">
        <v>362.42</v>
      </c>
      <c r="K464" s="34">
        <v>2369.17</v>
      </c>
      <c r="L464" s="33">
        <v>100141</v>
      </c>
      <c r="M464" s="34">
        <f t="shared" si="67"/>
        <v>19.868811881188119</v>
      </c>
      <c r="N464" s="27">
        <v>101</v>
      </c>
      <c r="O464" s="34">
        <f>((N464-80)*M464)*0.5</f>
        <v>208.62252475247524</v>
      </c>
      <c r="P464" s="35">
        <f t="shared" si="69"/>
        <v>39.64</v>
      </c>
      <c r="Q464" s="34">
        <f t="shared" si="68"/>
        <v>312.93378712871288</v>
      </c>
      <c r="R464" s="35"/>
    </row>
    <row r="465" spans="1:18" x14ac:dyDescent="0.3">
      <c r="A465" s="37" t="s">
        <v>77</v>
      </c>
      <c r="B465" s="33" t="s">
        <v>117</v>
      </c>
      <c r="C465" s="34">
        <v>1911</v>
      </c>
      <c r="D465" s="33">
        <v>80</v>
      </c>
      <c r="E465" s="33">
        <v>210.13</v>
      </c>
      <c r="F465" s="33">
        <v>1911</v>
      </c>
      <c r="G465" s="34">
        <v>210.13</v>
      </c>
      <c r="H465" s="34">
        <v>0</v>
      </c>
      <c r="I465" s="34">
        <v>2121.13</v>
      </c>
      <c r="J465" s="34">
        <v>369.79</v>
      </c>
      <c r="K465" s="34">
        <v>2490.92</v>
      </c>
      <c r="L465" s="33" t="s">
        <v>14</v>
      </c>
      <c r="M465" s="34" t="e">
        <f t="shared" si="67"/>
        <v>#DIV/0!</v>
      </c>
      <c r="N465" s="27"/>
      <c r="O465" s="34" t="e">
        <f>((N465-80)*M465)*0.5</f>
        <v>#DIV/0!</v>
      </c>
      <c r="P465" s="35" t="e">
        <f t="shared" si="69"/>
        <v>#VALUE!</v>
      </c>
      <c r="Q465" s="34" t="e">
        <f t="shared" si="68"/>
        <v>#DIV/0!</v>
      </c>
      <c r="R465" s="35"/>
    </row>
    <row r="466" spans="1:18" x14ac:dyDescent="0.3">
      <c r="A466" s="37" t="s">
        <v>77</v>
      </c>
      <c r="B466" s="33" t="s">
        <v>117</v>
      </c>
      <c r="C466" s="34">
        <v>1687</v>
      </c>
      <c r="D466" s="33">
        <v>0</v>
      </c>
      <c r="E466" s="33">
        <v>1687</v>
      </c>
      <c r="F466" s="33"/>
      <c r="G466" s="34">
        <v>315.38</v>
      </c>
      <c r="H466" s="34">
        <v>0</v>
      </c>
      <c r="I466" s="34">
        <v>2002.38</v>
      </c>
      <c r="J466" s="34">
        <v>189.42</v>
      </c>
      <c r="K466" s="34">
        <v>2191.8000000000002</v>
      </c>
      <c r="L466" s="33" t="s">
        <v>14</v>
      </c>
      <c r="M466" s="34" t="e">
        <f t="shared" si="67"/>
        <v>#DIV/0!</v>
      </c>
      <c r="N466" s="27"/>
      <c r="O466" s="34" t="e">
        <f>((N466-80)*M466)*0.5</f>
        <v>#DIV/0!</v>
      </c>
      <c r="P466" s="35" t="e">
        <f t="shared" si="69"/>
        <v>#VALUE!</v>
      </c>
      <c r="Q466" s="34" t="e">
        <f t="shared" si="68"/>
        <v>#DIV/0!</v>
      </c>
      <c r="R466" s="35"/>
    </row>
    <row r="467" spans="1:18" x14ac:dyDescent="0.3">
      <c r="A467" s="37" t="s">
        <v>77</v>
      </c>
      <c r="B467" s="33" t="s">
        <v>117</v>
      </c>
      <c r="C467" s="34">
        <v>2236</v>
      </c>
      <c r="D467" s="33">
        <v>80</v>
      </c>
      <c r="E467" s="33">
        <v>1385.3</v>
      </c>
      <c r="F467" s="33">
        <v>1440</v>
      </c>
      <c r="G467" s="34">
        <v>589.29999999999995</v>
      </c>
      <c r="H467" s="34">
        <v>0</v>
      </c>
      <c r="I467" s="34">
        <v>2825.3</v>
      </c>
      <c r="J467" s="34">
        <v>427.83</v>
      </c>
      <c r="K467" s="34">
        <v>3253.13</v>
      </c>
      <c r="L467" s="33" t="s">
        <v>14</v>
      </c>
      <c r="M467" s="34" t="e">
        <f t="shared" si="67"/>
        <v>#DIV/0!</v>
      </c>
      <c r="N467" s="27"/>
      <c r="O467" s="34" t="e">
        <f>((N467-80)*M467)*0.5</f>
        <v>#DIV/0!</v>
      </c>
      <c r="P467" s="35" t="e">
        <f t="shared" si="69"/>
        <v>#VALUE!</v>
      </c>
      <c r="Q467" s="34" t="e">
        <f t="shared" si="68"/>
        <v>#DIV/0!</v>
      </c>
      <c r="R467" s="35"/>
    </row>
    <row r="468" spans="1:18" x14ac:dyDescent="0.3">
      <c r="A468" s="32">
        <v>43553</v>
      </c>
      <c r="B468" s="33" t="s">
        <v>117</v>
      </c>
      <c r="C468" s="34">
        <v>1288</v>
      </c>
      <c r="D468" s="36">
        <v>28</v>
      </c>
      <c r="E468" s="33">
        <v>554.26</v>
      </c>
      <c r="F468" s="33">
        <v>1440</v>
      </c>
      <c r="G468" s="34">
        <v>356.26</v>
      </c>
      <c r="H468" s="34">
        <v>350</v>
      </c>
      <c r="I468" s="34">
        <v>1994.26</v>
      </c>
      <c r="J468" s="34">
        <v>349.19</v>
      </c>
      <c r="K468" s="34">
        <v>2343.4499999999998</v>
      </c>
      <c r="L468" s="33" t="s">
        <v>14</v>
      </c>
      <c r="M468" s="34">
        <f t="shared" si="67"/>
        <v>71.223571428571432</v>
      </c>
      <c r="N468" s="27">
        <v>28</v>
      </c>
      <c r="O468" s="34">
        <v>0</v>
      </c>
      <c r="P468" s="35">
        <f t="shared" si="69"/>
        <v>0</v>
      </c>
      <c r="Q468" s="34">
        <f t="shared" si="68"/>
        <v>0</v>
      </c>
      <c r="R468" s="35"/>
    </row>
    <row r="469" spans="1:18" x14ac:dyDescent="0.3">
      <c r="A469" s="32">
        <v>43567</v>
      </c>
      <c r="B469" s="33" t="s">
        <v>117</v>
      </c>
      <c r="C469" s="34">
        <v>1808</v>
      </c>
      <c r="D469" s="33">
        <v>80</v>
      </c>
      <c r="E469" s="33">
        <v>831.76</v>
      </c>
      <c r="F469" s="33">
        <v>1440</v>
      </c>
      <c r="G469" s="34">
        <v>423.76</v>
      </c>
      <c r="H469" s="34">
        <v>40</v>
      </c>
      <c r="I469" s="34">
        <v>2271.7600000000002</v>
      </c>
      <c r="J469" s="34">
        <v>375.44</v>
      </c>
      <c r="K469" s="34">
        <v>2647.2</v>
      </c>
      <c r="L469" s="33" t="s">
        <v>14</v>
      </c>
      <c r="M469" s="34">
        <f t="shared" si="67"/>
        <v>25.815454545454546</v>
      </c>
      <c r="N469" s="27">
        <v>88</v>
      </c>
      <c r="O469" s="34">
        <f>((N469-80)*M469)*0.5</f>
        <v>103.26181818181819</v>
      </c>
      <c r="P469" s="35">
        <f t="shared" si="69"/>
        <v>16.52</v>
      </c>
      <c r="Q469" s="34">
        <f t="shared" si="68"/>
        <v>154.89272727272729</v>
      </c>
      <c r="R469" s="35"/>
    </row>
    <row r="470" spans="1:18" x14ac:dyDescent="0.3">
      <c r="A470" s="32">
        <v>43581</v>
      </c>
      <c r="B470" s="33" t="s">
        <v>117</v>
      </c>
      <c r="C470" s="34">
        <v>1488</v>
      </c>
      <c r="D470" s="33">
        <v>80</v>
      </c>
      <c r="E470" s="33">
        <v>831.76</v>
      </c>
      <c r="F470" s="33">
        <v>1440</v>
      </c>
      <c r="G470" s="34">
        <v>423.76</v>
      </c>
      <c r="H470" s="34">
        <v>360</v>
      </c>
      <c r="I470" s="34">
        <v>2271.7600000000002</v>
      </c>
      <c r="J470" s="34">
        <v>371.59</v>
      </c>
      <c r="K470" s="34">
        <v>2643.35</v>
      </c>
      <c r="L470" s="33" t="s">
        <v>14</v>
      </c>
      <c r="M470" s="34">
        <f t="shared" si="67"/>
        <v>25.815454545454546</v>
      </c>
      <c r="N470" s="27">
        <v>88</v>
      </c>
      <c r="O470" s="34">
        <f>((N470-80)*M470)*0.5</f>
        <v>103.26181818181819</v>
      </c>
      <c r="P470" s="35">
        <f t="shared" si="69"/>
        <v>16.52</v>
      </c>
      <c r="Q470" s="34">
        <f t="shared" si="68"/>
        <v>154.89272727272729</v>
      </c>
      <c r="R470" s="35"/>
    </row>
    <row r="471" spans="1:18" x14ac:dyDescent="0.3">
      <c r="A471" s="32">
        <v>43595</v>
      </c>
      <c r="B471" s="33" t="s">
        <v>117</v>
      </c>
      <c r="C471" s="34">
        <v>1806</v>
      </c>
      <c r="D471" s="36">
        <v>36</v>
      </c>
      <c r="E471" s="33">
        <v>771.84</v>
      </c>
      <c r="F471" s="33">
        <v>1440</v>
      </c>
      <c r="G471" s="34">
        <v>405.84</v>
      </c>
      <c r="H471" s="34">
        <v>0</v>
      </c>
      <c r="I471" s="34">
        <v>2211.84</v>
      </c>
      <c r="J471" s="34">
        <v>366.01</v>
      </c>
      <c r="K471" s="34">
        <v>2577.85</v>
      </c>
      <c r="L471" s="33" t="s">
        <v>14</v>
      </c>
      <c r="M471" s="34">
        <f t="shared" si="67"/>
        <v>61.440000000000005</v>
      </c>
      <c r="N471" s="27">
        <v>36</v>
      </c>
      <c r="O471" s="34">
        <v>0</v>
      </c>
      <c r="P471" s="35">
        <f t="shared" si="69"/>
        <v>0</v>
      </c>
      <c r="Q471" s="34">
        <f t="shared" si="68"/>
        <v>0</v>
      </c>
      <c r="R471" s="35"/>
    </row>
    <row r="472" spans="1:18" x14ac:dyDescent="0.3">
      <c r="A472" s="37" t="s">
        <v>77</v>
      </c>
      <c r="B472" s="33" t="s">
        <v>117</v>
      </c>
      <c r="C472" s="34">
        <v>1941</v>
      </c>
      <c r="D472" s="33">
        <v>80</v>
      </c>
      <c r="E472" s="33">
        <v>1535.08</v>
      </c>
      <c r="F472" s="33">
        <v>1440</v>
      </c>
      <c r="G472" s="34">
        <v>634.08000000000004</v>
      </c>
      <c r="H472" s="34">
        <v>400</v>
      </c>
      <c r="I472" s="34">
        <v>2975.08</v>
      </c>
      <c r="J472" s="34">
        <v>436.93</v>
      </c>
      <c r="K472" s="34">
        <v>3412.01</v>
      </c>
      <c r="L472" s="33" t="s">
        <v>14</v>
      </c>
      <c r="M472" s="34" t="e">
        <f t="shared" si="67"/>
        <v>#DIV/0!</v>
      </c>
      <c r="N472" s="27"/>
      <c r="O472" s="34" t="e">
        <f>((N472-80)*M472)*0.5</f>
        <v>#DIV/0!</v>
      </c>
      <c r="P472" s="35" t="e">
        <f t="shared" si="69"/>
        <v>#VALUE!</v>
      </c>
      <c r="Q472" s="34" t="e">
        <f t="shared" si="68"/>
        <v>#DIV/0!</v>
      </c>
      <c r="R472" s="35"/>
    </row>
    <row r="473" spans="1:18" x14ac:dyDescent="0.3">
      <c r="A473" s="37" t="s">
        <v>77</v>
      </c>
      <c r="B473" s="33" t="s">
        <v>117</v>
      </c>
      <c r="C473" s="34">
        <v>1933</v>
      </c>
      <c r="D473" s="33">
        <v>80</v>
      </c>
      <c r="E473" s="33">
        <v>995.81</v>
      </c>
      <c r="F473" s="33">
        <v>1440</v>
      </c>
      <c r="G473" s="34">
        <v>472.81</v>
      </c>
      <c r="H473" s="34">
        <v>30</v>
      </c>
      <c r="I473" s="34">
        <v>2435.81</v>
      </c>
      <c r="J473" s="34">
        <v>386.83</v>
      </c>
      <c r="K473" s="34">
        <v>2822.64</v>
      </c>
      <c r="L473" s="33" t="s">
        <v>14</v>
      </c>
      <c r="M473" s="34" t="e">
        <f t="shared" si="67"/>
        <v>#DIV/0!</v>
      </c>
      <c r="N473" s="27"/>
      <c r="O473" s="34" t="e">
        <f>((N473-80)*M473)*0.5</f>
        <v>#DIV/0!</v>
      </c>
      <c r="P473" s="35" t="e">
        <f t="shared" si="69"/>
        <v>#VALUE!</v>
      </c>
      <c r="Q473" s="34" t="e">
        <f t="shared" si="68"/>
        <v>#DIV/0!</v>
      </c>
      <c r="R473" s="35"/>
    </row>
    <row r="474" spans="1:18" x14ac:dyDescent="0.3">
      <c r="A474" s="32">
        <v>43637</v>
      </c>
      <c r="B474" s="33" t="s">
        <v>117</v>
      </c>
      <c r="C474" s="34">
        <v>1877</v>
      </c>
      <c r="D474" s="36">
        <v>51</v>
      </c>
      <c r="E474" s="33">
        <v>1138.1500000000001</v>
      </c>
      <c r="F474" s="33">
        <v>1440</v>
      </c>
      <c r="G474" s="34">
        <v>331.15</v>
      </c>
      <c r="H474" s="34">
        <v>370</v>
      </c>
      <c r="I474" s="34">
        <v>2578.15</v>
      </c>
      <c r="J474" s="34">
        <v>400.05</v>
      </c>
      <c r="K474" s="34">
        <v>2978.2</v>
      </c>
      <c r="L474" s="33" t="s">
        <v>14</v>
      </c>
      <c r="M474" s="34">
        <f t="shared" si="67"/>
        <v>50.551960784313728</v>
      </c>
      <c r="N474" s="27">
        <v>51</v>
      </c>
      <c r="O474" s="34">
        <v>0</v>
      </c>
      <c r="P474" s="35">
        <f t="shared" si="69"/>
        <v>0</v>
      </c>
      <c r="Q474" s="34">
        <f t="shared" si="68"/>
        <v>0</v>
      </c>
      <c r="R474" s="35"/>
    </row>
    <row r="475" spans="1:18" x14ac:dyDescent="0.3">
      <c r="A475" s="32">
        <v>43651</v>
      </c>
      <c r="B475" s="33" t="s">
        <v>117</v>
      </c>
      <c r="C475" s="34">
        <v>1765</v>
      </c>
      <c r="D475" s="33">
        <v>80</v>
      </c>
      <c r="E475" s="33">
        <v>555.16999999999996</v>
      </c>
      <c r="F475" s="33">
        <v>1440</v>
      </c>
      <c r="G475" s="34">
        <v>200.17</v>
      </c>
      <c r="H475" s="34">
        <v>30</v>
      </c>
      <c r="I475" s="34">
        <v>1995.17</v>
      </c>
      <c r="J475" s="34">
        <v>345.89</v>
      </c>
      <c r="K475" s="34">
        <v>2341.06</v>
      </c>
      <c r="L475" s="33" t="s">
        <v>14</v>
      </c>
      <c r="M475" s="34">
        <f t="shared" si="67"/>
        <v>23.335321637426901</v>
      </c>
      <c r="N475" s="27">
        <v>85.5</v>
      </c>
      <c r="O475" s="34">
        <f t="shared" ref="O475:O502" si="70">((N475-80)*M475)*0.5</f>
        <v>64.172134502923981</v>
      </c>
      <c r="P475" s="35">
        <f t="shared" si="69"/>
        <v>8.98</v>
      </c>
      <c r="Q475" s="34">
        <f t="shared" si="68"/>
        <v>96.258201754385965</v>
      </c>
      <c r="R475" s="35"/>
    </row>
    <row r="476" spans="1:18" x14ac:dyDescent="0.3">
      <c r="A476" s="37" t="s">
        <v>77</v>
      </c>
      <c r="B476" s="33" t="s">
        <v>118</v>
      </c>
      <c r="C476" s="34">
        <v>2929</v>
      </c>
      <c r="D476" s="33">
        <v>80</v>
      </c>
      <c r="E476" s="33"/>
      <c r="F476" s="33"/>
      <c r="G476" s="34">
        <v>288.64</v>
      </c>
      <c r="H476" s="34">
        <v>0</v>
      </c>
      <c r="I476" s="34">
        <v>3217.64</v>
      </c>
      <c r="J476" s="34">
        <v>484.24</v>
      </c>
      <c r="K476" s="34">
        <v>3701.88</v>
      </c>
      <c r="L476" s="33" t="s">
        <v>14</v>
      </c>
      <c r="M476" s="34" t="e">
        <f t="shared" si="67"/>
        <v>#DIV/0!</v>
      </c>
      <c r="N476" s="27">
        <v>0</v>
      </c>
      <c r="O476" s="34" t="e">
        <f t="shared" si="70"/>
        <v>#DIV/0!</v>
      </c>
      <c r="P476" s="35" t="e">
        <f t="shared" si="69"/>
        <v>#VALUE!</v>
      </c>
      <c r="Q476" s="34" t="e">
        <f t="shared" si="68"/>
        <v>#DIV/0!</v>
      </c>
      <c r="R476" s="35">
        <v>409.55</v>
      </c>
    </row>
    <row r="477" spans="1:18" x14ac:dyDescent="0.3">
      <c r="A477" s="37" t="s">
        <v>77</v>
      </c>
      <c r="B477" s="33" t="s">
        <v>118</v>
      </c>
      <c r="C477" s="34">
        <v>1890</v>
      </c>
      <c r="D477" s="33">
        <v>70</v>
      </c>
      <c r="E477" s="33"/>
      <c r="F477" s="33"/>
      <c r="G477" s="34">
        <v>423.91</v>
      </c>
      <c r="H477" s="34">
        <v>0</v>
      </c>
      <c r="I477" s="34">
        <v>2313.91</v>
      </c>
      <c r="J477" s="34">
        <v>373.24</v>
      </c>
      <c r="K477" s="34">
        <v>2687.15</v>
      </c>
      <c r="L477" s="33" t="s">
        <v>14</v>
      </c>
      <c r="M477" s="34" t="e">
        <f t="shared" si="67"/>
        <v>#DIV/0!</v>
      </c>
      <c r="N477" s="27"/>
      <c r="O477" s="34" t="e">
        <f t="shared" si="70"/>
        <v>#DIV/0!</v>
      </c>
      <c r="P477" s="35" t="e">
        <f t="shared" si="69"/>
        <v>#VALUE!</v>
      </c>
      <c r="Q477" s="34" t="e">
        <f t="shared" si="68"/>
        <v>#DIV/0!</v>
      </c>
      <c r="R477" s="35"/>
    </row>
    <row r="478" spans="1:18" x14ac:dyDescent="0.3">
      <c r="A478" s="37" t="s">
        <v>77</v>
      </c>
      <c r="B478" s="33" t="s">
        <v>118</v>
      </c>
      <c r="C478" s="34">
        <v>3051</v>
      </c>
      <c r="D478" s="33">
        <v>80</v>
      </c>
      <c r="E478" s="33"/>
      <c r="F478" s="33"/>
      <c r="G478" s="34">
        <v>763.37</v>
      </c>
      <c r="H478" s="34">
        <v>0</v>
      </c>
      <c r="I478" s="34">
        <v>3814.37</v>
      </c>
      <c r="J478" s="34">
        <v>530.19000000000005</v>
      </c>
      <c r="K478" s="34">
        <v>4344.5600000000004</v>
      </c>
      <c r="L478" s="33" t="s">
        <v>14</v>
      </c>
      <c r="M478" s="34" t="e">
        <f t="shared" si="67"/>
        <v>#DIV/0!</v>
      </c>
      <c r="N478" s="27"/>
      <c r="O478" s="34" t="e">
        <f t="shared" si="70"/>
        <v>#DIV/0!</v>
      </c>
      <c r="P478" s="35" t="e">
        <f t="shared" si="69"/>
        <v>#VALUE!</v>
      </c>
      <c r="Q478" s="34" t="e">
        <f t="shared" si="68"/>
        <v>#DIV/0!</v>
      </c>
      <c r="R478" s="35"/>
    </row>
    <row r="479" spans="1:18" x14ac:dyDescent="0.3">
      <c r="A479" s="37" t="s">
        <v>77</v>
      </c>
      <c r="B479" s="33" t="s">
        <v>118</v>
      </c>
      <c r="C479" s="34">
        <v>2242</v>
      </c>
      <c r="D479" s="33">
        <v>47</v>
      </c>
      <c r="E479" s="33"/>
      <c r="F479" s="33"/>
      <c r="G479" s="34">
        <v>501.65</v>
      </c>
      <c r="H479" s="34">
        <v>0</v>
      </c>
      <c r="I479" s="34">
        <v>2743.65</v>
      </c>
      <c r="J479" s="34">
        <v>370.32</v>
      </c>
      <c r="K479" s="34">
        <v>3113.97</v>
      </c>
      <c r="L479" s="33" t="s">
        <v>14</v>
      </c>
      <c r="M479" s="34" t="e">
        <f t="shared" si="67"/>
        <v>#DIV/0!</v>
      </c>
      <c r="N479" s="27"/>
      <c r="O479" s="34" t="e">
        <f t="shared" si="70"/>
        <v>#DIV/0!</v>
      </c>
      <c r="P479" s="35" t="e">
        <f t="shared" si="69"/>
        <v>#VALUE!</v>
      </c>
      <c r="Q479" s="34" t="e">
        <f t="shared" si="68"/>
        <v>#DIV/0!</v>
      </c>
      <c r="R479" s="35"/>
    </row>
    <row r="480" spans="1:18" x14ac:dyDescent="0.3">
      <c r="A480" s="37" t="s">
        <v>77</v>
      </c>
      <c r="B480" s="33" t="s">
        <v>118</v>
      </c>
      <c r="C480" s="34">
        <v>2095</v>
      </c>
      <c r="D480" s="33">
        <v>80</v>
      </c>
      <c r="E480" s="33"/>
      <c r="F480" s="33"/>
      <c r="G480" s="34">
        <v>268.82</v>
      </c>
      <c r="H480" s="34">
        <v>500</v>
      </c>
      <c r="I480" s="34">
        <v>2863.82</v>
      </c>
      <c r="J480" s="34">
        <v>448.63</v>
      </c>
      <c r="K480" s="34">
        <v>3312.45</v>
      </c>
      <c r="L480" s="33">
        <v>100135</v>
      </c>
      <c r="M480" s="34" t="e">
        <f t="shared" si="67"/>
        <v>#DIV/0!</v>
      </c>
      <c r="N480" s="27"/>
      <c r="O480" s="34" t="e">
        <f t="shared" si="70"/>
        <v>#DIV/0!</v>
      </c>
      <c r="P480" s="35" t="e">
        <f t="shared" si="69"/>
        <v>#VALUE!</v>
      </c>
      <c r="Q480" s="34" t="e">
        <f t="shared" si="68"/>
        <v>#DIV/0!</v>
      </c>
      <c r="R480" s="35"/>
    </row>
    <row r="481" spans="1:18" x14ac:dyDescent="0.3">
      <c r="A481" s="37" t="s">
        <v>77</v>
      </c>
      <c r="B481" s="33" t="s">
        <v>118</v>
      </c>
      <c r="C481" s="34">
        <v>2980</v>
      </c>
      <c r="D481" s="33">
        <v>80</v>
      </c>
      <c r="E481" s="33"/>
      <c r="F481" s="33"/>
      <c r="G481" s="34">
        <v>948.28</v>
      </c>
      <c r="H481" s="34">
        <v>500</v>
      </c>
      <c r="I481" s="34">
        <v>4428.28</v>
      </c>
      <c r="J481" s="34">
        <v>587.83000000000004</v>
      </c>
      <c r="K481" s="34">
        <v>5016.1099999999997</v>
      </c>
      <c r="L481" s="33">
        <v>100143</v>
      </c>
      <c r="M481" s="34" t="e">
        <f t="shared" si="67"/>
        <v>#DIV/0!</v>
      </c>
      <c r="N481" s="27"/>
      <c r="O481" s="34" t="e">
        <f t="shared" si="70"/>
        <v>#DIV/0!</v>
      </c>
      <c r="P481" s="35" t="e">
        <f t="shared" si="69"/>
        <v>#VALUE!</v>
      </c>
      <c r="Q481" s="34" t="e">
        <f t="shared" si="68"/>
        <v>#DIV/0!</v>
      </c>
      <c r="R481" s="35"/>
    </row>
    <row r="482" spans="1:18" x14ac:dyDescent="0.3">
      <c r="A482" s="37" t="s">
        <v>77</v>
      </c>
      <c r="B482" s="33" t="s">
        <v>118</v>
      </c>
      <c r="C482" s="34">
        <v>2943</v>
      </c>
      <c r="D482" s="33">
        <v>80</v>
      </c>
      <c r="E482" s="33"/>
      <c r="F482" s="33"/>
      <c r="G482" s="34">
        <v>298.68</v>
      </c>
      <c r="H482" s="34">
        <v>0</v>
      </c>
      <c r="I482" s="34">
        <v>3241.68</v>
      </c>
      <c r="J482" s="34">
        <v>467.2</v>
      </c>
      <c r="K482" s="34">
        <v>3708.88</v>
      </c>
      <c r="L482" s="33" t="s">
        <v>14</v>
      </c>
      <c r="M482" s="34" t="e">
        <f t="shared" si="67"/>
        <v>#DIV/0!</v>
      </c>
      <c r="N482" s="27"/>
      <c r="O482" s="34" t="e">
        <f t="shared" si="70"/>
        <v>#DIV/0!</v>
      </c>
      <c r="P482" s="35" t="e">
        <f t="shared" si="69"/>
        <v>#VALUE!</v>
      </c>
      <c r="Q482" s="34" t="e">
        <f t="shared" si="68"/>
        <v>#DIV/0!</v>
      </c>
      <c r="R482" s="35"/>
    </row>
    <row r="483" spans="1:18" x14ac:dyDescent="0.3">
      <c r="A483" s="37" t="s">
        <v>77</v>
      </c>
      <c r="B483" s="33" t="s">
        <v>118</v>
      </c>
      <c r="C483" s="34">
        <v>3088</v>
      </c>
      <c r="D483" s="33">
        <v>80</v>
      </c>
      <c r="E483" s="33"/>
      <c r="F483" s="33"/>
      <c r="G483" s="34">
        <v>354.04</v>
      </c>
      <c r="H483" s="34">
        <v>500</v>
      </c>
      <c r="I483" s="34">
        <v>3942.04</v>
      </c>
      <c r="J483" s="34">
        <v>533.46</v>
      </c>
      <c r="K483" s="34">
        <v>4475.5</v>
      </c>
      <c r="L483" s="33">
        <v>100163</v>
      </c>
      <c r="M483" s="34" t="e">
        <f t="shared" si="67"/>
        <v>#DIV/0!</v>
      </c>
      <c r="N483" s="27"/>
      <c r="O483" s="34" t="e">
        <f t="shared" si="70"/>
        <v>#DIV/0!</v>
      </c>
      <c r="P483" s="35" t="e">
        <f t="shared" si="69"/>
        <v>#VALUE!</v>
      </c>
      <c r="Q483" s="34" t="e">
        <f t="shared" si="68"/>
        <v>#DIV/0!</v>
      </c>
      <c r="R483" s="35"/>
    </row>
    <row r="484" spans="1:18" x14ac:dyDescent="0.3">
      <c r="A484" s="37" t="s">
        <v>77</v>
      </c>
      <c r="B484" s="33" t="s">
        <v>118</v>
      </c>
      <c r="C484" s="34">
        <v>3074</v>
      </c>
      <c r="D484" s="33">
        <v>80</v>
      </c>
      <c r="E484" s="33"/>
      <c r="F484" s="33"/>
      <c r="G484" s="34">
        <v>775.06</v>
      </c>
      <c r="H484" s="34">
        <v>0</v>
      </c>
      <c r="I484" s="34">
        <v>3849.06</v>
      </c>
      <c r="J484" s="34">
        <v>524.66</v>
      </c>
      <c r="K484" s="34">
        <v>4373.72</v>
      </c>
      <c r="L484" s="33" t="s">
        <v>14</v>
      </c>
      <c r="M484" s="34" t="e">
        <f t="shared" si="67"/>
        <v>#DIV/0!</v>
      </c>
      <c r="N484" s="27"/>
      <c r="O484" s="34" t="e">
        <f t="shared" si="70"/>
        <v>#DIV/0!</v>
      </c>
      <c r="P484" s="35" t="e">
        <f t="shared" si="69"/>
        <v>#VALUE!</v>
      </c>
      <c r="Q484" s="34" t="e">
        <f t="shared" si="68"/>
        <v>#DIV/0!</v>
      </c>
      <c r="R484" s="35"/>
    </row>
    <row r="485" spans="1:18" x14ac:dyDescent="0.3">
      <c r="A485" s="37" t="s">
        <v>77</v>
      </c>
      <c r="B485" s="33" t="s">
        <v>118</v>
      </c>
      <c r="C485" s="34">
        <v>3080</v>
      </c>
      <c r="D485" s="33">
        <v>80</v>
      </c>
      <c r="E485" s="33"/>
      <c r="F485" s="33"/>
      <c r="G485" s="34">
        <v>777.63</v>
      </c>
      <c r="H485" s="34">
        <v>0</v>
      </c>
      <c r="I485" s="34">
        <v>3857.63</v>
      </c>
      <c r="J485" s="34">
        <v>525.47</v>
      </c>
      <c r="K485" s="34">
        <v>4383.1000000000004</v>
      </c>
      <c r="L485" s="33" t="s">
        <v>14</v>
      </c>
      <c r="M485" s="34" t="e">
        <f t="shared" si="67"/>
        <v>#DIV/0!</v>
      </c>
      <c r="N485" s="27"/>
      <c r="O485" s="34" t="e">
        <f t="shared" si="70"/>
        <v>#DIV/0!</v>
      </c>
      <c r="P485" s="35" t="e">
        <f t="shared" si="69"/>
        <v>#VALUE!</v>
      </c>
      <c r="Q485" s="34" t="e">
        <f t="shared" si="68"/>
        <v>#DIV/0!</v>
      </c>
      <c r="R485" s="35"/>
    </row>
    <row r="486" spans="1:18" x14ac:dyDescent="0.3">
      <c r="A486" s="37" t="s">
        <v>77</v>
      </c>
      <c r="B486" s="33" t="s">
        <v>118</v>
      </c>
      <c r="C486" s="34">
        <v>3088</v>
      </c>
      <c r="D486" s="33">
        <v>80</v>
      </c>
      <c r="E486" s="33"/>
      <c r="F486" s="33"/>
      <c r="G486" s="34">
        <v>781.03</v>
      </c>
      <c r="H486" s="34">
        <v>0</v>
      </c>
      <c r="I486" s="34">
        <v>3869.03</v>
      </c>
      <c r="J486" s="34">
        <v>526.54999999999995</v>
      </c>
      <c r="K486" s="34">
        <v>4395.58</v>
      </c>
      <c r="L486" s="33" t="s">
        <v>14</v>
      </c>
      <c r="M486" s="34" t="e">
        <f t="shared" si="67"/>
        <v>#DIV/0!</v>
      </c>
      <c r="N486" s="27"/>
      <c r="O486" s="34" t="e">
        <f t="shared" si="70"/>
        <v>#DIV/0!</v>
      </c>
      <c r="P486" s="35" t="e">
        <f t="shared" si="69"/>
        <v>#VALUE!</v>
      </c>
      <c r="Q486" s="34" t="e">
        <f t="shared" si="68"/>
        <v>#DIV/0!</v>
      </c>
      <c r="R486" s="35"/>
    </row>
    <row r="487" spans="1:18" x14ac:dyDescent="0.3">
      <c r="A487" s="37" t="s">
        <v>77</v>
      </c>
      <c r="B487" s="33" t="s">
        <v>118</v>
      </c>
      <c r="C487" s="34">
        <v>2184</v>
      </c>
      <c r="D487" s="33">
        <v>80</v>
      </c>
      <c r="E487" s="33"/>
      <c r="F487" s="33"/>
      <c r="G487" s="34">
        <v>618.45000000000005</v>
      </c>
      <c r="H487" s="34">
        <v>440</v>
      </c>
      <c r="I487" s="34">
        <v>3242.45</v>
      </c>
      <c r="J487" s="34">
        <v>461.77</v>
      </c>
      <c r="K487" s="34">
        <v>3704.22</v>
      </c>
      <c r="L487" s="33" t="s">
        <v>14</v>
      </c>
      <c r="M487" s="34" t="e">
        <f t="shared" si="67"/>
        <v>#DIV/0!</v>
      </c>
      <c r="N487" s="27"/>
      <c r="O487" s="34" t="e">
        <f t="shared" si="70"/>
        <v>#DIV/0!</v>
      </c>
      <c r="P487" s="35" t="e">
        <f t="shared" si="69"/>
        <v>#VALUE!</v>
      </c>
      <c r="Q487" s="34" t="e">
        <f t="shared" si="68"/>
        <v>#DIV/0!</v>
      </c>
      <c r="R487" s="35"/>
    </row>
    <row r="488" spans="1:18" x14ac:dyDescent="0.3">
      <c r="A488" s="37" t="s">
        <v>77</v>
      </c>
      <c r="B488" s="33" t="s">
        <v>118</v>
      </c>
      <c r="C488" s="34">
        <v>2508</v>
      </c>
      <c r="D488" s="33">
        <v>80</v>
      </c>
      <c r="E488" s="33"/>
      <c r="F488" s="33"/>
      <c r="G488" s="34">
        <v>589.63</v>
      </c>
      <c r="H488" s="34">
        <v>0</v>
      </c>
      <c r="I488" s="34">
        <v>3097.63</v>
      </c>
      <c r="J488" s="34">
        <v>448.31</v>
      </c>
      <c r="K488" s="34">
        <v>3545.94</v>
      </c>
      <c r="L488" s="33" t="s">
        <v>14</v>
      </c>
      <c r="M488" s="34" t="e">
        <f t="shared" si="67"/>
        <v>#DIV/0!</v>
      </c>
      <c r="N488" s="27"/>
      <c r="O488" s="34" t="e">
        <f t="shared" si="70"/>
        <v>#DIV/0!</v>
      </c>
      <c r="P488" s="35" t="e">
        <f t="shared" si="69"/>
        <v>#VALUE!</v>
      </c>
      <c r="Q488" s="34" t="e">
        <f t="shared" si="68"/>
        <v>#DIV/0!</v>
      </c>
      <c r="R488" s="35"/>
    </row>
    <row r="489" spans="1:18" x14ac:dyDescent="0.3">
      <c r="A489" s="37" t="s">
        <v>77</v>
      </c>
      <c r="B489" s="33" t="s">
        <v>118</v>
      </c>
      <c r="C489" s="34">
        <v>2054</v>
      </c>
      <c r="D489" s="33">
        <v>80</v>
      </c>
      <c r="E489" s="33"/>
      <c r="F489" s="33"/>
      <c r="G489" s="34">
        <v>586.14</v>
      </c>
      <c r="H489" s="34">
        <v>440</v>
      </c>
      <c r="I489" s="34">
        <v>3080.14</v>
      </c>
      <c r="J489" s="34">
        <v>446.69</v>
      </c>
      <c r="K489" s="34">
        <v>3526.83</v>
      </c>
      <c r="L489" s="33" t="s">
        <v>14</v>
      </c>
      <c r="M489" s="34" t="e">
        <f t="shared" si="67"/>
        <v>#DIV/0!</v>
      </c>
      <c r="N489" s="27"/>
      <c r="O489" s="34" t="e">
        <f t="shared" si="70"/>
        <v>#DIV/0!</v>
      </c>
      <c r="P489" s="35" t="e">
        <f t="shared" si="69"/>
        <v>#VALUE!</v>
      </c>
      <c r="Q489" s="34" t="e">
        <f t="shared" si="68"/>
        <v>#DIV/0!</v>
      </c>
      <c r="R489" s="35"/>
    </row>
    <row r="490" spans="1:18" x14ac:dyDescent="0.3">
      <c r="A490" s="37" t="s">
        <v>77</v>
      </c>
      <c r="B490" s="33" t="s">
        <v>118</v>
      </c>
      <c r="C490" s="34">
        <v>2581</v>
      </c>
      <c r="D490" s="33">
        <v>80</v>
      </c>
      <c r="E490" s="33"/>
      <c r="F490" s="33"/>
      <c r="G490" s="34">
        <v>607.77</v>
      </c>
      <c r="H490" s="34">
        <v>0</v>
      </c>
      <c r="I490" s="34">
        <v>3188.77</v>
      </c>
      <c r="J490" s="34">
        <v>456.77</v>
      </c>
      <c r="K490" s="34">
        <v>3645.54</v>
      </c>
      <c r="L490" s="33" t="s">
        <v>14</v>
      </c>
      <c r="M490" s="34" t="e">
        <f t="shared" si="67"/>
        <v>#DIV/0!</v>
      </c>
      <c r="N490" s="27"/>
      <c r="O490" s="34" t="e">
        <f t="shared" si="70"/>
        <v>#DIV/0!</v>
      </c>
      <c r="P490" s="35" t="e">
        <f t="shared" si="69"/>
        <v>#VALUE!</v>
      </c>
      <c r="Q490" s="34" t="e">
        <f t="shared" si="68"/>
        <v>#DIV/0!</v>
      </c>
      <c r="R490" s="35"/>
    </row>
    <row r="491" spans="1:18" x14ac:dyDescent="0.3">
      <c r="A491" s="37" t="s">
        <v>77</v>
      </c>
      <c r="B491" s="33" t="s">
        <v>118</v>
      </c>
      <c r="C491" s="34">
        <v>3411</v>
      </c>
      <c r="D491" s="33">
        <v>80</v>
      </c>
      <c r="E491" s="33"/>
      <c r="F491" s="33"/>
      <c r="G491" s="34">
        <v>734.69</v>
      </c>
      <c r="H491" s="34">
        <v>460</v>
      </c>
      <c r="I491" s="34">
        <v>4605.6899999999996</v>
      </c>
      <c r="J491" s="34">
        <v>588.41</v>
      </c>
      <c r="K491" s="34">
        <v>5194.1000000000004</v>
      </c>
      <c r="L491" s="33" t="s">
        <v>14</v>
      </c>
      <c r="M491" s="34" t="e">
        <f t="shared" si="67"/>
        <v>#DIV/0!</v>
      </c>
      <c r="N491" s="27"/>
      <c r="O491" s="34" t="e">
        <f t="shared" si="70"/>
        <v>#DIV/0!</v>
      </c>
      <c r="P491" s="35" t="e">
        <f t="shared" si="69"/>
        <v>#VALUE!</v>
      </c>
      <c r="Q491" s="34" t="e">
        <f t="shared" si="68"/>
        <v>#DIV/0!</v>
      </c>
      <c r="R491" s="35"/>
    </row>
    <row r="492" spans="1:18" x14ac:dyDescent="0.3">
      <c r="A492" s="37" t="s">
        <v>77</v>
      </c>
      <c r="B492" s="33" t="s">
        <v>118</v>
      </c>
      <c r="C492" s="34">
        <v>2116</v>
      </c>
      <c r="D492" s="33">
        <v>74</v>
      </c>
      <c r="E492" s="33"/>
      <c r="F492" s="33"/>
      <c r="G492" s="34">
        <v>226.84</v>
      </c>
      <c r="H492" s="34">
        <v>30</v>
      </c>
      <c r="I492" s="34">
        <v>2372.84</v>
      </c>
      <c r="J492" s="34">
        <v>368.94</v>
      </c>
      <c r="K492" s="34">
        <v>2741.78</v>
      </c>
      <c r="L492" s="33" t="s">
        <v>14</v>
      </c>
      <c r="M492" s="34" t="e">
        <f t="shared" si="67"/>
        <v>#DIV/0!</v>
      </c>
      <c r="N492" s="27"/>
      <c r="O492" s="34" t="e">
        <f t="shared" si="70"/>
        <v>#DIV/0!</v>
      </c>
      <c r="P492" s="35" t="e">
        <f t="shared" si="69"/>
        <v>#VALUE!</v>
      </c>
      <c r="Q492" s="34" t="e">
        <f t="shared" si="68"/>
        <v>#DIV/0!</v>
      </c>
      <c r="R492" s="35"/>
    </row>
    <row r="493" spans="1:18" x14ac:dyDescent="0.3">
      <c r="A493" s="37" t="s">
        <v>77</v>
      </c>
      <c r="B493" s="33" t="s">
        <v>118</v>
      </c>
      <c r="C493" s="34">
        <v>1921</v>
      </c>
      <c r="D493" s="33">
        <v>68</v>
      </c>
      <c r="E493" s="33"/>
      <c r="F493" s="33"/>
      <c r="G493" s="34">
        <v>264.38</v>
      </c>
      <c r="H493" s="34">
        <v>65</v>
      </c>
      <c r="I493" s="34">
        <v>2250.38</v>
      </c>
      <c r="J493" s="34">
        <v>331.85</v>
      </c>
      <c r="K493" s="34">
        <v>2582.23</v>
      </c>
      <c r="L493" s="33" t="s">
        <v>14</v>
      </c>
      <c r="M493" s="34" t="e">
        <f t="shared" si="67"/>
        <v>#DIV/0!</v>
      </c>
      <c r="N493" s="27"/>
      <c r="O493" s="34" t="e">
        <f t="shared" si="70"/>
        <v>#DIV/0!</v>
      </c>
      <c r="P493" s="35" t="e">
        <f t="shared" si="69"/>
        <v>#VALUE!</v>
      </c>
      <c r="Q493" s="34" t="e">
        <f t="shared" si="68"/>
        <v>#DIV/0!</v>
      </c>
      <c r="R493" s="35"/>
    </row>
    <row r="494" spans="1:18" x14ac:dyDescent="0.3">
      <c r="A494" s="37" t="s">
        <v>77</v>
      </c>
      <c r="B494" s="33" t="s">
        <v>118</v>
      </c>
      <c r="C494" s="34">
        <v>2584</v>
      </c>
      <c r="D494" s="33">
        <v>80</v>
      </c>
      <c r="E494" s="33"/>
      <c r="F494" s="33"/>
      <c r="G494" s="34">
        <v>536.64</v>
      </c>
      <c r="H494" s="34">
        <v>489.92</v>
      </c>
      <c r="I494" s="34">
        <v>3610.56</v>
      </c>
      <c r="J494" s="34">
        <v>436.75</v>
      </c>
      <c r="K494" s="34">
        <v>4047.31</v>
      </c>
      <c r="L494" s="33" t="s">
        <v>14</v>
      </c>
      <c r="M494" s="34" t="e">
        <f t="shared" si="67"/>
        <v>#DIV/0!</v>
      </c>
      <c r="N494" s="27"/>
      <c r="O494" s="34" t="e">
        <f t="shared" si="70"/>
        <v>#DIV/0!</v>
      </c>
      <c r="P494" s="35" t="e">
        <f t="shared" ref="P494:P511" si="71">ROUND(((ROUNDDOWN(($T$1-A494)/30,0))/100)*O494,2)</f>
        <v>#VALUE!</v>
      </c>
      <c r="Q494" s="34" t="e">
        <f t="shared" si="68"/>
        <v>#DIV/0!</v>
      </c>
      <c r="R494" s="35"/>
    </row>
    <row r="495" spans="1:18" x14ac:dyDescent="0.3">
      <c r="A495" s="37" t="s">
        <v>77</v>
      </c>
      <c r="B495" s="33" t="s">
        <v>118</v>
      </c>
      <c r="C495" s="34">
        <v>2748</v>
      </c>
      <c r="D495" s="33">
        <v>80</v>
      </c>
      <c r="E495" s="33"/>
      <c r="F495" s="33"/>
      <c r="G495" s="34">
        <v>468.07</v>
      </c>
      <c r="H495" s="34">
        <v>50</v>
      </c>
      <c r="I495" s="34">
        <v>3266.07</v>
      </c>
      <c r="J495" s="34">
        <v>410.39</v>
      </c>
      <c r="K495" s="34">
        <v>3676.46</v>
      </c>
      <c r="L495" s="33" t="s">
        <v>14</v>
      </c>
      <c r="M495" s="34" t="e">
        <f t="shared" si="67"/>
        <v>#DIV/0!</v>
      </c>
      <c r="N495" s="27"/>
      <c r="O495" s="34" t="e">
        <f t="shared" si="70"/>
        <v>#DIV/0!</v>
      </c>
      <c r="P495" s="35" t="e">
        <f t="shared" si="71"/>
        <v>#VALUE!</v>
      </c>
      <c r="Q495" s="34" t="e">
        <f t="shared" si="68"/>
        <v>#DIV/0!</v>
      </c>
      <c r="R495" s="35"/>
    </row>
    <row r="496" spans="1:18" x14ac:dyDescent="0.3">
      <c r="A496" s="37" t="s">
        <v>77</v>
      </c>
      <c r="B496" s="33" t="s">
        <v>118</v>
      </c>
      <c r="C496" s="34">
        <v>2961</v>
      </c>
      <c r="D496" s="33">
        <v>80</v>
      </c>
      <c r="E496" s="33"/>
      <c r="F496" s="33"/>
      <c r="G496" s="34">
        <v>630.35</v>
      </c>
      <c r="H496" s="34">
        <v>490</v>
      </c>
      <c r="I496" s="34">
        <v>4081.35</v>
      </c>
      <c r="J496" s="34">
        <v>472.77</v>
      </c>
      <c r="K496" s="34">
        <v>4554.12</v>
      </c>
      <c r="L496" s="33" t="s">
        <v>14</v>
      </c>
      <c r="M496" s="34" t="e">
        <f t="shared" si="67"/>
        <v>#DIV/0!</v>
      </c>
      <c r="N496" s="27"/>
      <c r="O496" s="34" t="e">
        <f t="shared" si="70"/>
        <v>#DIV/0!</v>
      </c>
      <c r="P496" s="35" t="e">
        <f t="shared" si="71"/>
        <v>#VALUE!</v>
      </c>
      <c r="Q496" s="34" t="e">
        <f t="shared" si="68"/>
        <v>#DIV/0!</v>
      </c>
      <c r="R496" s="35"/>
    </row>
    <row r="497" spans="1:18" x14ac:dyDescent="0.3">
      <c r="A497" s="37" t="s">
        <v>77</v>
      </c>
      <c r="B497" s="33" t="s">
        <v>118</v>
      </c>
      <c r="C497" s="34">
        <v>2726</v>
      </c>
      <c r="D497" s="33">
        <v>80</v>
      </c>
      <c r="E497" s="33"/>
      <c r="F497" s="33"/>
      <c r="G497" s="34">
        <v>450.19</v>
      </c>
      <c r="H497" s="34">
        <v>0</v>
      </c>
      <c r="I497" s="34">
        <v>3176.19</v>
      </c>
      <c r="J497" s="34">
        <v>403.52</v>
      </c>
      <c r="K497" s="34">
        <v>3579.71</v>
      </c>
      <c r="L497" s="33" t="s">
        <v>14</v>
      </c>
      <c r="M497" s="34" t="e">
        <f t="shared" si="67"/>
        <v>#DIV/0!</v>
      </c>
      <c r="N497" s="27"/>
      <c r="O497" s="34" t="e">
        <f t="shared" si="70"/>
        <v>#DIV/0!</v>
      </c>
      <c r="P497" s="35" t="e">
        <f t="shared" si="71"/>
        <v>#VALUE!</v>
      </c>
      <c r="Q497" s="34" t="e">
        <f t="shared" si="68"/>
        <v>#DIV/0!</v>
      </c>
      <c r="R497" s="35"/>
    </row>
    <row r="498" spans="1:18" x14ac:dyDescent="0.3">
      <c r="A498" s="37" t="s">
        <v>77</v>
      </c>
      <c r="B498" s="33" t="s">
        <v>118</v>
      </c>
      <c r="C498" s="34">
        <v>2982</v>
      </c>
      <c r="D498" s="33">
        <v>80</v>
      </c>
      <c r="E498" s="33"/>
      <c r="F498" s="33"/>
      <c r="G498" s="34">
        <v>623.12</v>
      </c>
      <c r="H498" s="34">
        <v>440</v>
      </c>
      <c r="I498" s="34">
        <v>4045.12</v>
      </c>
      <c r="J498" s="34">
        <v>469.99</v>
      </c>
      <c r="K498" s="34">
        <v>4515.1099999999997</v>
      </c>
      <c r="L498" s="33" t="s">
        <v>14</v>
      </c>
      <c r="M498" s="34" t="e">
        <f t="shared" si="67"/>
        <v>#DIV/0!</v>
      </c>
      <c r="N498" s="27"/>
      <c r="O498" s="34" t="e">
        <f t="shared" si="70"/>
        <v>#DIV/0!</v>
      </c>
      <c r="P498" s="35" t="e">
        <f t="shared" si="71"/>
        <v>#VALUE!</v>
      </c>
      <c r="Q498" s="34" t="e">
        <f t="shared" si="68"/>
        <v>#DIV/0!</v>
      </c>
      <c r="R498" s="35"/>
    </row>
    <row r="499" spans="1:18" x14ac:dyDescent="0.3">
      <c r="A499" s="32">
        <v>43749</v>
      </c>
      <c r="B499" s="33" t="s">
        <v>118</v>
      </c>
      <c r="C499" s="34">
        <v>3409</v>
      </c>
      <c r="D499" s="33">
        <v>80</v>
      </c>
      <c r="E499" s="33"/>
      <c r="F499" s="33"/>
      <c r="G499" s="34">
        <v>644.75</v>
      </c>
      <c r="H499" s="34">
        <v>100</v>
      </c>
      <c r="I499" s="34">
        <v>4153.75</v>
      </c>
      <c r="J499" s="34">
        <v>478.3</v>
      </c>
      <c r="K499" s="34">
        <v>4632.05</v>
      </c>
      <c r="L499" s="33" t="s">
        <v>14</v>
      </c>
      <c r="M499" s="34">
        <f t="shared" si="67"/>
        <v>0</v>
      </c>
      <c r="N499" s="27">
        <v>121</v>
      </c>
      <c r="O499" s="34">
        <f t="shared" si="70"/>
        <v>0</v>
      </c>
      <c r="P499" s="35">
        <f t="shared" si="71"/>
        <v>0</v>
      </c>
      <c r="Q499" s="34">
        <f t="shared" si="68"/>
        <v>0</v>
      </c>
      <c r="R499" s="35"/>
    </row>
    <row r="500" spans="1:18" x14ac:dyDescent="0.3">
      <c r="A500" s="37" t="s">
        <v>77</v>
      </c>
      <c r="B500" s="33" t="s">
        <v>118</v>
      </c>
      <c r="C500" s="34">
        <v>2715</v>
      </c>
      <c r="D500" s="33">
        <v>80</v>
      </c>
      <c r="E500" s="33"/>
      <c r="F500" s="33"/>
      <c r="G500" s="34">
        <v>457.4</v>
      </c>
      <c r="H500" s="34">
        <v>40</v>
      </c>
      <c r="I500" s="34">
        <v>3212.4</v>
      </c>
      <c r="J500" s="34">
        <v>406.29</v>
      </c>
      <c r="K500" s="34">
        <v>3618.69</v>
      </c>
      <c r="L500" s="33" t="s">
        <v>14</v>
      </c>
      <c r="M500" s="34" t="e">
        <f t="shared" si="67"/>
        <v>#DIV/0!</v>
      </c>
      <c r="N500" s="27"/>
      <c r="O500" s="34" t="e">
        <f t="shared" si="70"/>
        <v>#DIV/0!</v>
      </c>
      <c r="P500" s="35" t="e">
        <f t="shared" si="71"/>
        <v>#VALUE!</v>
      </c>
      <c r="Q500" s="34" t="e">
        <f t="shared" si="68"/>
        <v>#DIV/0!</v>
      </c>
      <c r="R500" s="35"/>
    </row>
    <row r="501" spans="1:18" x14ac:dyDescent="0.3">
      <c r="A501" s="37" t="s">
        <v>77</v>
      </c>
      <c r="B501" s="33" t="s">
        <v>118</v>
      </c>
      <c r="C501" s="34">
        <v>2262</v>
      </c>
      <c r="D501" s="33">
        <v>80</v>
      </c>
      <c r="E501" s="33"/>
      <c r="F501" s="33"/>
      <c r="G501" s="34">
        <v>334.87</v>
      </c>
      <c r="H501" s="34">
        <v>0</v>
      </c>
      <c r="I501" s="34">
        <v>2596.87</v>
      </c>
      <c r="J501" s="34">
        <v>359.19</v>
      </c>
      <c r="K501" s="34">
        <v>2956.06</v>
      </c>
      <c r="L501" s="33" t="s">
        <v>14</v>
      </c>
      <c r="M501" s="34" t="e">
        <f t="shared" si="67"/>
        <v>#DIV/0!</v>
      </c>
      <c r="N501" s="27"/>
      <c r="O501" s="34" t="e">
        <f t="shared" si="70"/>
        <v>#DIV/0!</v>
      </c>
      <c r="P501" s="35" t="e">
        <f t="shared" si="71"/>
        <v>#VALUE!</v>
      </c>
      <c r="Q501" s="34" t="e">
        <f t="shared" si="68"/>
        <v>#DIV/0!</v>
      </c>
      <c r="R501" s="35"/>
    </row>
    <row r="502" spans="1:18" x14ac:dyDescent="0.3">
      <c r="A502" s="37" t="s">
        <v>77</v>
      </c>
      <c r="B502" s="33" t="s">
        <v>118</v>
      </c>
      <c r="C502" s="34">
        <v>158</v>
      </c>
      <c r="D502" s="33">
        <v>0</v>
      </c>
      <c r="E502" s="33"/>
      <c r="F502" s="33"/>
      <c r="G502" s="34">
        <v>0</v>
      </c>
      <c r="H502" s="34">
        <v>0</v>
      </c>
      <c r="I502" s="34">
        <v>158</v>
      </c>
      <c r="J502" s="34">
        <v>0</v>
      </c>
      <c r="K502" s="34">
        <v>158</v>
      </c>
      <c r="L502" s="33" t="s">
        <v>14</v>
      </c>
      <c r="M502" s="34" t="e">
        <f t="shared" si="67"/>
        <v>#DIV/0!</v>
      </c>
      <c r="N502" s="27"/>
      <c r="O502" s="34" t="e">
        <f t="shared" si="70"/>
        <v>#DIV/0!</v>
      </c>
      <c r="P502" s="35" t="e">
        <f t="shared" si="71"/>
        <v>#VALUE!</v>
      </c>
      <c r="Q502" s="34" t="e">
        <f t="shared" si="68"/>
        <v>#DIV/0!</v>
      </c>
      <c r="R502" s="35"/>
    </row>
    <row r="503" spans="1:18" x14ac:dyDescent="0.3">
      <c r="A503" s="37" t="s">
        <v>77</v>
      </c>
      <c r="B503" s="33" t="s">
        <v>46</v>
      </c>
      <c r="C503" s="34">
        <v>575</v>
      </c>
      <c r="D503" s="36">
        <v>23</v>
      </c>
      <c r="E503" s="33"/>
      <c r="F503" s="33">
        <v>575</v>
      </c>
      <c r="G503" s="34">
        <v>55.12</v>
      </c>
      <c r="H503" s="34">
        <v>0</v>
      </c>
      <c r="I503" s="34">
        <v>630.12</v>
      </c>
      <c r="J503" s="34">
        <v>89.2</v>
      </c>
      <c r="K503" s="34">
        <v>719.32</v>
      </c>
      <c r="L503" s="33">
        <v>100199</v>
      </c>
      <c r="M503" s="34">
        <f t="shared" si="67"/>
        <v>25</v>
      </c>
      <c r="N503" s="27">
        <v>23</v>
      </c>
      <c r="O503" s="34">
        <v>0</v>
      </c>
      <c r="P503" s="35" t="e">
        <f t="shared" si="71"/>
        <v>#VALUE!</v>
      </c>
      <c r="Q503" s="34">
        <f t="shared" si="68"/>
        <v>0</v>
      </c>
      <c r="R503" s="35">
        <v>409.55</v>
      </c>
    </row>
    <row r="504" spans="1:18" x14ac:dyDescent="0.3">
      <c r="A504" s="37" t="s">
        <v>77</v>
      </c>
      <c r="B504" s="33" t="s">
        <v>46</v>
      </c>
      <c r="C504" s="34">
        <v>1977</v>
      </c>
      <c r="D504" s="36">
        <v>45.5</v>
      </c>
      <c r="E504" s="33"/>
      <c r="F504" s="33">
        <v>2112</v>
      </c>
      <c r="G504" s="34">
        <v>282.98</v>
      </c>
      <c r="H504" s="34">
        <v>135</v>
      </c>
      <c r="I504" s="34">
        <v>2394.98</v>
      </c>
      <c r="J504" s="34">
        <v>321.27999999999997</v>
      </c>
      <c r="K504" s="34">
        <v>2716.26</v>
      </c>
      <c r="L504" s="33">
        <v>100203</v>
      </c>
      <c r="M504" s="34">
        <f t="shared" si="67"/>
        <v>24.994082840236686</v>
      </c>
      <c r="N504" s="27">
        <v>84.5</v>
      </c>
      <c r="O504" s="38">
        <f>(M504*0.5)*5.5</f>
        <v>68.73372781065089</v>
      </c>
      <c r="P504" s="35" t="e">
        <f t="shared" si="71"/>
        <v>#VALUE!</v>
      </c>
      <c r="Q504" s="34">
        <f t="shared" si="68"/>
        <v>103.10059171597634</v>
      </c>
      <c r="R504" s="35"/>
    </row>
    <row r="505" spans="1:18" x14ac:dyDescent="0.3">
      <c r="A505" s="37">
        <v>43915</v>
      </c>
      <c r="B505" s="33" t="s">
        <v>46</v>
      </c>
      <c r="C505" s="34"/>
      <c r="D505" s="31">
        <v>13.5</v>
      </c>
      <c r="E505" s="33"/>
      <c r="F505" s="33"/>
      <c r="G505" s="34"/>
      <c r="H505" s="34"/>
      <c r="I505" s="34"/>
      <c r="J505" s="34"/>
      <c r="K505" s="34"/>
      <c r="L505" s="33"/>
      <c r="M505" s="34"/>
      <c r="N505" s="27"/>
      <c r="O505" s="34"/>
      <c r="P505" s="35">
        <f t="shared" si="71"/>
        <v>0</v>
      </c>
      <c r="Q505" s="34"/>
      <c r="R505" s="35"/>
    </row>
    <row r="506" spans="1:18" x14ac:dyDescent="0.3">
      <c r="A506" s="32">
        <v>43917</v>
      </c>
      <c r="B506" s="33" t="s">
        <v>46</v>
      </c>
      <c r="C506" s="34">
        <v>1991.09</v>
      </c>
      <c r="D506" s="36">
        <v>42.5</v>
      </c>
      <c r="E506" s="33"/>
      <c r="F506" s="33">
        <v>2344.13</v>
      </c>
      <c r="G506" s="34">
        <v>353.04</v>
      </c>
      <c r="H506" s="34">
        <v>0</v>
      </c>
      <c r="I506" s="34">
        <v>2344.13</v>
      </c>
      <c r="J506" s="34">
        <v>346.36</v>
      </c>
      <c r="K506" s="34">
        <v>2690.49</v>
      </c>
      <c r="L506" s="33">
        <v>100206</v>
      </c>
      <c r="M506" s="34">
        <f t="shared" ref="M506:M511" si="72">(E506+F506)/N506</f>
        <v>28.76233128834356</v>
      </c>
      <c r="N506" s="27">
        <v>81.5</v>
      </c>
      <c r="O506" s="38">
        <f>(M506*0.5)*2.5</f>
        <v>35.952914110429447</v>
      </c>
      <c r="P506" s="35">
        <f t="shared" si="71"/>
        <v>1.8</v>
      </c>
      <c r="Q506" s="34">
        <f t="shared" ref="Q506:Q511" si="73">O506*1.5</f>
        <v>53.92937116564417</v>
      </c>
      <c r="R506" s="35"/>
    </row>
    <row r="507" spans="1:18" x14ac:dyDescent="0.3">
      <c r="A507" s="37">
        <v>43931</v>
      </c>
      <c r="B507" s="33" t="s">
        <v>46</v>
      </c>
      <c r="C507" s="34">
        <v>1033.07</v>
      </c>
      <c r="D507" s="36">
        <v>16</v>
      </c>
      <c r="E507" s="33"/>
      <c r="F507" s="33">
        <v>1140</v>
      </c>
      <c r="G507" s="34">
        <v>106.93</v>
      </c>
      <c r="H507" s="34">
        <v>0</v>
      </c>
      <c r="I507" s="34">
        <v>1140</v>
      </c>
      <c r="J507" s="34">
        <v>168.96</v>
      </c>
      <c r="K507" s="34">
        <v>1308.96</v>
      </c>
      <c r="L507" s="33">
        <v>100209</v>
      </c>
      <c r="M507" s="34">
        <f t="shared" si="72"/>
        <v>71.25</v>
      </c>
      <c r="N507" s="27">
        <v>16</v>
      </c>
      <c r="O507" s="34">
        <v>0</v>
      </c>
      <c r="P507" s="35">
        <f t="shared" si="71"/>
        <v>0</v>
      </c>
      <c r="Q507" s="34">
        <f t="shared" si="73"/>
        <v>0</v>
      </c>
      <c r="R507" s="35"/>
    </row>
    <row r="508" spans="1:18" x14ac:dyDescent="0.3">
      <c r="A508" s="37" t="s">
        <v>77</v>
      </c>
      <c r="B508" s="33" t="s">
        <v>46</v>
      </c>
      <c r="C508" s="34">
        <v>500</v>
      </c>
      <c r="D508" s="33">
        <v>19.36</v>
      </c>
      <c r="E508" s="33"/>
      <c r="F508" s="33">
        <v>551.76</v>
      </c>
      <c r="G508" s="34">
        <v>51.76</v>
      </c>
      <c r="H508" s="34">
        <v>0</v>
      </c>
      <c r="I508" s="34">
        <v>551.76</v>
      </c>
      <c r="J508" s="34">
        <v>81.59</v>
      </c>
      <c r="K508" s="34">
        <v>633.35</v>
      </c>
      <c r="L508" s="33">
        <v>100212</v>
      </c>
      <c r="M508" s="34" t="e">
        <f t="shared" si="72"/>
        <v>#DIV/0!</v>
      </c>
      <c r="N508" s="27"/>
      <c r="O508" s="34" t="e">
        <f>((N508-80)*M508)*0.5</f>
        <v>#DIV/0!</v>
      </c>
      <c r="P508" s="35" t="e">
        <f t="shared" si="71"/>
        <v>#VALUE!</v>
      </c>
      <c r="Q508" s="34" t="e">
        <f t="shared" si="73"/>
        <v>#DIV/0!</v>
      </c>
      <c r="R508" s="35"/>
    </row>
    <row r="509" spans="1:18" x14ac:dyDescent="0.3">
      <c r="A509" s="37" t="s">
        <v>77</v>
      </c>
      <c r="B509" s="33" t="s">
        <v>46</v>
      </c>
      <c r="C509" s="34">
        <v>700.04</v>
      </c>
      <c r="D509" s="33">
        <v>55</v>
      </c>
      <c r="E509" s="33"/>
      <c r="F509" s="33">
        <v>772.49</v>
      </c>
      <c r="G509" s="34">
        <v>72.45</v>
      </c>
      <c r="H509" s="34">
        <v>0</v>
      </c>
      <c r="I509" s="34">
        <v>772.49</v>
      </c>
      <c r="J509" s="34">
        <v>111.25</v>
      </c>
      <c r="K509" s="34">
        <v>883.74</v>
      </c>
      <c r="L509" s="33">
        <v>100216</v>
      </c>
      <c r="M509" s="34" t="e">
        <f t="shared" si="72"/>
        <v>#DIV/0!</v>
      </c>
      <c r="N509" s="27"/>
      <c r="O509" s="34" t="e">
        <f>((N509-80)*M509)*0.5</f>
        <v>#DIV/0!</v>
      </c>
      <c r="P509" s="35" t="e">
        <f t="shared" si="71"/>
        <v>#VALUE!</v>
      </c>
      <c r="Q509" s="34" t="e">
        <f t="shared" si="73"/>
        <v>#DIV/0!</v>
      </c>
      <c r="R509" s="35"/>
    </row>
    <row r="510" spans="1:18" x14ac:dyDescent="0.3">
      <c r="A510" s="32">
        <v>43973</v>
      </c>
      <c r="B510" s="33" t="s">
        <v>46</v>
      </c>
      <c r="C510" s="34">
        <v>1407.54</v>
      </c>
      <c r="D510" s="36">
        <v>55</v>
      </c>
      <c r="E510" s="33"/>
      <c r="F510" s="33">
        <v>1553.25</v>
      </c>
      <c r="G510" s="34">
        <v>145.71</v>
      </c>
      <c r="H510" s="34">
        <v>0</v>
      </c>
      <c r="I510" s="34">
        <v>1553.25</v>
      </c>
      <c r="J510" s="34">
        <v>220.39</v>
      </c>
      <c r="K510" s="34">
        <v>1773.64</v>
      </c>
      <c r="L510" s="33">
        <v>100219</v>
      </c>
      <c r="M510" s="34">
        <f t="shared" si="72"/>
        <v>28.240909090909092</v>
      </c>
      <c r="N510" s="27">
        <v>55</v>
      </c>
      <c r="O510" s="34">
        <v>0</v>
      </c>
      <c r="P510" s="35">
        <f t="shared" si="71"/>
        <v>0</v>
      </c>
      <c r="Q510" s="34">
        <f t="shared" si="73"/>
        <v>0</v>
      </c>
      <c r="R510" s="35"/>
    </row>
    <row r="511" spans="1:18" x14ac:dyDescent="0.3">
      <c r="A511" s="32">
        <v>43987</v>
      </c>
      <c r="B511" s="33" t="s">
        <v>46</v>
      </c>
      <c r="C511" s="34">
        <v>3258.7</v>
      </c>
      <c r="D511" s="33">
        <v>80</v>
      </c>
      <c r="E511" s="33"/>
      <c r="F511" s="36">
        <v>3731.46</v>
      </c>
      <c r="G511" s="34">
        <v>472.76</v>
      </c>
      <c r="H511" s="34">
        <v>0</v>
      </c>
      <c r="I511" s="34">
        <v>3731.46</v>
      </c>
      <c r="J511" s="34">
        <v>475.45</v>
      </c>
      <c r="K511" s="34">
        <v>4206.91</v>
      </c>
      <c r="L511" s="33">
        <v>100222</v>
      </c>
      <c r="M511" s="34">
        <f t="shared" si="72"/>
        <v>33.768868778280542</v>
      </c>
      <c r="N511" s="27">
        <v>110.5</v>
      </c>
      <c r="O511" s="34">
        <f>((N511-80)*M511)*0.5</f>
        <v>514.97524886877829</v>
      </c>
      <c r="P511" s="35">
        <f t="shared" si="71"/>
        <v>10.3</v>
      </c>
      <c r="Q511" s="34">
        <f t="shared" si="73"/>
        <v>772.4628733031675</v>
      </c>
      <c r="R511" s="35"/>
    </row>
    <row r="512" spans="1:18" x14ac:dyDescent="0.3">
      <c r="A512" s="32">
        <v>43995</v>
      </c>
      <c r="B512" s="33" t="s">
        <v>46</v>
      </c>
      <c r="C512" s="34"/>
      <c r="D512" s="31">
        <v>67</v>
      </c>
      <c r="E512" s="33"/>
      <c r="F512" s="33"/>
      <c r="G512" s="34"/>
      <c r="H512" s="34"/>
      <c r="I512" s="34"/>
      <c r="J512" s="34"/>
      <c r="K512" s="34"/>
      <c r="L512" s="33"/>
      <c r="M512" s="34"/>
      <c r="N512" s="27"/>
      <c r="O512" s="34"/>
      <c r="P512" s="35"/>
      <c r="Q512" s="34"/>
      <c r="R512" s="35"/>
    </row>
    <row r="513" spans="1:18" x14ac:dyDescent="0.3">
      <c r="A513" s="32">
        <v>44009</v>
      </c>
      <c r="B513" s="33" t="s">
        <v>46</v>
      </c>
      <c r="C513" s="34"/>
      <c r="D513" s="31">
        <v>94.5</v>
      </c>
      <c r="E513" s="33"/>
      <c r="F513" s="33"/>
      <c r="G513" s="34"/>
      <c r="H513" s="34"/>
      <c r="I513" s="34"/>
      <c r="J513" s="34"/>
      <c r="K513" s="34"/>
      <c r="L513" s="33"/>
      <c r="M513" s="34"/>
      <c r="N513" s="27"/>
      <c r="O513" s="34"/>
      <c r="P513" s="35">
        <f t="shared" ref="P513:P576" si="74">ROUND(((ROUNDDOWN(($T$1-A513)/30,0))/100)*O513,2)</f>
        <v>0</v>
      </c>
      <c r="Q513" s="34"/>
      <c r="R513" s="35"/>
    </row>
    <row r="514" spans="1:18" x14ac:dyDescent="0.3">
      <c r="A514" s="32">
        <v>44023</v>
      </c>
      <c r="B514" s="33" t="s">
        <v>46</v>
      </c>
      <c r="C514" s="34"/>
      <c r="D514" s="31">
        <v>77</v>
      </c>
      <c r="E514" s="33"/>
      <c r="F514" s="33"/>
      <c r="G514" s="34"/>
      <c r="H514" s="34"/>
      <c r="I514" s="34"/>
      <c r="J514" s="34"/>
      <c r="K514" s="34"/>
      <c r="L514" s="33"/>
      <c r="M514" s="34"/>
      <c r="N514" s="27"/>
      <c r="O514" s="34"/>
      <c r="P514" s="35">
        <f t="shared" si="74"/>
        <v>0</v>
      </c>
      <c r="Q514" s="34"/>
      <c r="R514" s="35"/>
    </row>
    <row r="515" spans="1:18" x14ac:dyDescent="0.3">
      <c r="A515" s="37" t="s">
        <v>77</v>
      </c>
      <c r="B515" s="33" t="s">
        <v>94</v>
      </c>
      <c r="C515" s="34">
        <v>2632</v>
      </c>
      <c r="D515" s="33">
        <v>80</v>
      </c>
      <c r="E515" s="33">
        <v>256.02999999999997</v>
      </c>
      <c r="F515" s="33">
        <v>2640</v>
      </c>
      <c r="G515" s="34">
        <v>264.02999999999997</v>
      </c>
      <c r="H515" s="34">
        <v>0</v>
      </c>
      <c r="I515" s="34">
        <v>2896.03</v>
      </c>
      <c r="J515" s="34">
        <v>451.88</v>
      </c>
      <c r="K515" s="34">
        <v>3347.91</v>
      </c>
      <c r="L515" s="33">
        <v>100101</v>
      </c>
      <c r="M515" s="34" t="e">
        <f t="shared" ref="M515:M533" si="75">(E515+F515)/N515</f>
        <v>#DIV/0!</v>
      </c>
      <c r="N515" s="27"/>
      <c r="O515" s="34" t="e">
        <f t="shared" ref="O515:O530" si="76">((N515-80)*M515)*0.5</f>
        <v>#DIV/0!</v>
      </c>
      <c r="P515" s="35" t="e">
        <f t="shared" si="74"/>
        <v>#VALUE!</v>
      </c>
      <c r="Q515" s="34" t="e">
        <f t="shared" ref="Q515:Q556" si="77">O515*1.5</f>
        <v>#DIV/0!</v>
      </c>
      <c r="R515" s="35">
        <v>409.55</v>
      </c>
    </row>
    <row r="516" spans="1:18" x14ac:dyDescent="0.3">
      <c r="A516" s="37" t="s">
        <v>77</v>
      </c>
      <c r="B516" s="33" t="s">
        <v>94</v>
      </c>
      <c r="C516" s="34">
        <v>1265</v>
      </c>
      <c r="D516" s="33">
        <v>77.5</v>
      </c>
      <c r="E516" s="33">
        <v>2.1</v>
      </c>
      <c r="F516" s="33">
        <v>2015</v>
      </c>
      <c r="G516" s="34">
        <v>312.10000000000002</v>
      </c>
      <c r="H516" s="34">
        <v>440</v>
      </c>
      <c r="I516" s="34">
        <v>2017.1</v>
      </c>
      <c r="J516" s="34">
        <v>358.44</v>
      </c>
      <c r="K516" s="34">
        <v>2375.54</v>
      </c>
      <c r="L516" s="33">
        <v>100104</v>
      </c>
      <c r="M516" s="34" t="e">
        <f t="shared" si="75"/>
        <v>#DIV/0!</v>
      </c>
      <c r="N516" s="27"/>
      <c r="O516" s="34" t="e">
        <f t="shared" si="76"/>
        <v>#DIV/0!</v>
      </c>
      <c r="P516" s="35" t="e">
        <f t="shared" si="74"/>
        <v>#VALUE!</v>
      </c>
      <c r="Q516" s="34" t="e">
        <f t="shared" si="77"/>
        <v>#DIV/0!</v>
      </c>
      <c r="R516" s="35"/>
    </row>
    <row r="517" spans="1:18" x14ac:dyDescent="0.3">
      <c r="A517" s="37" t="s">
        <v>77</v>
      </c>
      <c r="B517" s="33" t="s">
        <v>94</v>
      </c>
      <c r="C517" s="34">
        <v>1884</v>
      </c>
      <c r="D517" s="33">
        <v>80</v>
      </c>
      <c r="E517" s="33">
        <v>757.18</v>
      </c>
      <c r="F517" s="33">
        <v>2480</v>
      </c>
      <c r="G517" s="34">
        <v>553.17999999999995</v>
      </c>
      <c r="H517" s="34">
        <v>800</v>
      </c>
      <c r="I517" s="34">
        <v>3237.18</v>
      </c>
      <c r="J517" s="34">
        <v>479.3</v>
      </c>
      <c r="K517" s="34">
        <v>3716.48</v>
      </c>
      <c r="L517" s="33">
        <v>100118</v>
      </c>
      <c r="M517" s="34" t="e">
        <f t="shared" si="75"/>
        <v>#DIV/0!</v>
      </c>
      <c r="N517" s="27"/>
      <c r="O517" s="34" t="e">
        <f t="shared" si="76"/>
        <v>#DIV/0!</v>
      </c>
      <c r="P517" s="35" t="e">
        <f t="shared" si="74"/>
        <v>#VALUE!</v>
      </c>
      <c r="Q517" s="34" t="e">
        <f t="shared" si="77"/>
        <v>#DIV/0!</v>
      </c>
      <c r="R517" s="35"/>
    </row>
    <row r="518" spans="1:18" x14ac:dyDescent="0.3">
      <c r="A518" s="37" t="s">
        <v>77</v>
      </c>
      <c r="B518" s="33" t="s">
        <v>94</v>
      </c>
      <c r="C518" s="34">
        <v>1639</v>
      </c>
      <c r="D518" s="33">
        <v>80</v>
      </c>
      <c r="E518" s="33">
        <v>689.42</v>
      </c>
      <c r="F518" s="33">
        <v>1800</v>
      </c>
      <c r="G518" s="34">
        <v>410.42</v>
      </c>
      <c r="H518" s="34">
        <v>440</v>
      </c>
      <c r="I518" s="34">
        <v>2489.42</v>
      </c>
      <c r="J518" s="34">
        <v>410.98</v>
      </c>
      <c r="K518" s="34">
        <v>2900.4</v>
      </c>
      <c r="L518" s="33">
        <v>100125</v>
      </c>
      <c r="M518" s="34" t="e">
        <f t="shared" si="75"/>
        <v>#DIV/0!</v>
      </c>
      <c r="N518" s="27"/>
      <c r="O518" s="34" t="e">
        <f t="shared" si="76"/>
        <v>#DIV/0!</v>
      </c>
      <c r="P518" s="35" t="e">
        <f t="shared" si="74"/>
        <v>#VALUE!</v>
      </c>
      <c r="Q518" s="34" t="e">
        <f t="shared" si="77"/>
        <v>#DIV/0!</v>
      </c>
      <c r="R518" s="35"/>
    </row>
    <row r="519" spans="1:18" x14ac:dyDescent="0.3">
      <c r="A519" s="37" t="s">
        <v>77</v>
      </c>
      <c r="B519" s="33" t="s">
        <v>94</v>
      </c>
      <c r="C519" s="34">
        <v>1796</v>
      </c>
      <c r="D519" s="33">
        <v>80</v>
      </c>
      <c r="E519" s="33">
        <v>1064.92</v>
      </c>
      <c r="F519" s="33">
        <v>1800</v>
      </c>
      <c r="G519" s="34">
        <v>268.92</v>
      </c>
      <c r="H519" s="34">
        <v>800</v>
      </c>
      <c r="I519" s="34">
        <v>2864.92</v>
      </c>
      <c r="J519" s="34">
        <v>448.75</v>
      </c>
      <c r="K519" s="34">
        <v>3313.67</v>
      </c>
      <c r="L519" s="33">
        <v>100133</v>
      </c>
      <c r="M519" s="34" t="e">
        <f t="shared" si="75"/>
        <v>#DIV/0!</v>
      </c>
      <c r="N519" s="27"/>
      <c r="O519" s="34" t="e">
        <f t="shared" si="76"/>
        <v>#DIV/0!</v>
      </c>
      <c r="P519" s="35" t="e">
        <f t="shared" si="74"/>
        <v>#VALUE!</v>
      </c>
      <c r="Q519" s="34" t="e">
        <f t="shared" si="77"/>
        <v>#DIV/0!</v>
      </c>
      <c r="R519" s="35"/>
    </row>
    <row r="520" spans="1:18" x14ac:dyDescent="0.3">
      <c r="A520" s="37" t="s">
        <v>77</v>
      </c>
      <c r="B520" s="33" t="s">
        <v>94</v>
      </c>
      <c r="C520" s="34">
        <v>2871</v>
      </c>
      <c r="D520" s="33">
        <v>80</v>
      </c>
      <c r="E520" s="33">
        <v>1678.23</v>
      </c>
      <c r="F520" s="33">
        <v>1800</v>
      </c>
      <c r="G520" s="34">
        <v>607.23</v>
      </c>
      <c r="H520" s="34">
        <v>0</v>
      </c>
      <c r="I520" s="34">
        <v>3478.23</v>
      </c>
      <c r="J520" s="34">
        <v>499.45</v>
      </c>
      <c r="K520" s="34">
        <v>3977.68</v>
      </c>
      <c r="L520" s="33">
        <v>100145</v>
      </c>
      <c r="M520" s="34" t="e">
        <f t="shared" si="75"/>
        <v>#DIV/0!</v>
      </c>
      <c r="N520" s="27"/>
      <c r="O520" s="34" t="e">
        <f t="shared" si="76"/>
        <v>#DIV/0!</v>
      </c>
      <c r="P520" s="35" t="e">
        <f t="shared" si="74"/>
        <v>#VALUE!</v>
      </c>
      <c r="Q520" s="34" t="e">
        <f t="shared" si="77"/>
        <v>#DIV/0!</v>
      </c>
      <c r="R520" s="35"/>
    </row>
    <row r="521" spans="1:18" x14ac:dyDescent="0.3">
      <c r="A521" s="37" t="s">
        <v>77</v>
      </c>
      <c r="B521" s="33" t="s">
        <v>94</v>
      </c>
      <c r="C521" s="34">
        <v>2409</v>
      </c>
      <c r="D521" s="33">
        <v>80</v>
      </c>
      <c r="E521" s="33">
        <v>252.87</v>
      </c>
      <c r="F521" s="33">
        <v>2409</v>
      </c>
      <c r="G521" s="34">
        <v>252.87</v>
      </c>
      <c r="H521" s="34">
        <v>0</v>
      </c>
      <c r="I521" s="34">
        <v>2661.87</v>
      </c>
      <c r="J521" s="34">
        <v>412.36</v>
      </c>
      <c r="K521" s="34">
        <v>3074.23</v>
      </c>
      <c r="L521" s="33">
        <v>100153</v>
      </c>
      <c r="M521" s="34" t="e">
        <f t="shared" si="75"/>
        <v>#DIV/0!</v>
      </c>
      <c r="N521" s="27"/>
      <c r="O521" s="34" t="e">
        <f t="shared" si="76"/>
        <v>#DIV/0!</v>
      </c>
      <c r="P521" s="35" t="e">
        <f t="shared" si="74"/>
        <v>#VALUE!</v>
      </c>
      <c r="Q521" s="34" t="e">
        <f t="shared" si="77"/>
        <v>#DIV/0!</v>
      </c>
      <c r="R521" s="35"/>
    </row>
    <row r="522" spans="1:18" x14ac:dyDescent="0.3">
      <c r="A522" s="37" t="s">
        <v>77</v>
      </c>
      <c r="B522" s="33" t="s">
        <v>94</v>
      </c>
      <c r="C522" s="34">
        <v>2145</v>
      </c>
      <c r="D522" s="33">
        <v>80</v>
      </c>
      <c r="E522" s="33">
        <v>1052.97</v>
      </c>
      <c r="F522" s="33">
        <v>1800</v>
      </c>
      <c r="G522" s="34">
        <v>267.97000000000003</v>
      </c>
      <c r="H522" s="34">
        <v>440</v>
      </c>
      <c r="I522" s="34">
        <v>2852.97</v>
      </c>
      <c r="J522" s="34">
        <v>430.43</v>
      </c>
      <c r="K522" s="34">
        <v>3283.4</v>
      </c>
      <c r="L522" s="33">
        <v>100165</v>
      </c>
      <c r="M522" s="34" t="e">
        <f t="shared" si="75"/>
        <v>#DIV/0!</v>
      </c>
      <c r="N522" s="27"/>
      <c r="O522" s="34" t="e">
        <f t="shared" si="76"/>
        <v>#DIV/0!</v>
      </c>
      <c r="P522" s="35" t="e">
        <f t="shared" si="74"/>
        <v>#VALUE!</v>
      </c>
      <c r="Q522" s="34" t="e">
        <f t="shared" si="77"/>
        <v>#DIV/0!</v>
      </c>
      <c r="R522" s="35"/>
    </row>
    <row r="523" spans="1:18" x14ac:dyDescent="0.3">
      <c r="A523" s="37" t="s">
        <v>77</v>
      </c>
      <c r="B523" s="33" t="s">
        <v>94</v>
      </c>
      <c r="C523" s="34">
        <v>2750</v>
      </c>
      <c r="D523" s="33">
        <v>80</v>
      </c>
      <c r="E523" s="33">
        <v>1527.16</v>
      </c>
      <c r="F523" s="33">
        <v>1800</v>
      </c>
      <c r="G523" s="34">
        <v>577.16</v>
      </c>
      <c r="H523" s="34">
        <v>0</v>
      </c>
      <c r="I523" s="34">
        <v>3327.16</v>
      </c>
      <c r="J523" s="34">
        <v>475.28</v>
      </c>
      <c r="K523" s="34">
        <v>3802.44</v>
      </c>
      <c r="L523" s="33">
        <v>100166</v>
      </c>
      <c r="M523" s="34" t="e">
        <f t="shared" si="75"/>
        <v>#DIV/0!</v>
      </c>
      <c r="N523" s="27"/>
      <c r="O523" s="34" t="e">
        <f t="shared" si="76"/>
        <v>#DIV/0!</v>
      </c>
      <c r="P523" s="35" t="e">
        <f t="shared" si="74"/>
        <v>#VALUE!</v>
      </c>
      <c r="Q523" s="34" t="e">
        <f t="shared" si="77"/>
        <v>#DIV/0!</v>
      </c>
      <c r="R523" s="35"/>
    </row>
    <row r="524" spans="1:18" x14ac:dyDescent="0.3">
      <c r="A524" s="37" t="s">
        <v>77</v>
      </c>
      <c r="B524" s="33" t="s">
        <v>94</v>
      </c>
      <c r="C524" s="34">
        <v>2024</v>
      </c>
      <c r="D524" s="33">
        <v>80</v>
      </c>
      <c r="E524" s="33">
        <v>1170.0999999999999</v>
      </c>
      <c r="F524" s="33">
        <v>1800</v>
      </c>
      <c r="G524" s="34">
        <v>506.1</v>
      </c>
      <c r="H524" s="34">
        <v>440</v>
      </c>
      <c r="I524" s="34">
        <v>2970.1</v>
      </c>
      <c r="J524" s="34">
        <v>441.52</v>
      </c>
      <c r="K524" s="34">
        <v>3411.62</v>
      </c>
      <c r="L524" s="33">
        <v>100171</v>
      </c>
      <c r="M524" s="34" t="e">
        <f t="shared" si="75"/>
        <v>#DIV/0!</v>
      </c>
      <c r="N524" s="27"/>
      <c r="O524" s="34" t="e">
        <f t="shared" si="76"/>
        <v>#DIV/0!</v>
      </c>
      <c r="P524" s="35" t="e">
        <f t="shared" si="74"/>
        <v>#VALUE!</v>
      </c>
      <c r="Q524" s="34" t="e">
        <f t="shared" si="77"/>
        <v>#DIV/0!</v>
      </c>
      <c r="R524" s="35"/>
    </row>
    <row r="525" spans="1:18" x14ac:dyDescent="0.3">
      <c r="A525" s="37" t="s">
        <v>77</v>
      </c>
      <c r="B525" s="33" t="s">
        <v>94</v>
      </c>
      <c r="C525" s="34">
        <v>2024</v>
      </c>
      <c r="D525" s="33">
        <v>80</v>
      </c>
      <c r="E525" s="33">
        <v>620.76</v>
      </c>
      <c r="F525" s="33">
        <v>1800</v>
      </c>
      <c r="G525" s="34">
        <v>396.76</v>
      </c>
      <c r="H525" s="34">
        <v>0</v>
      </c>
      <c r="I525" s="34">
        <v>2420.7600000000002</v>
      </c>
      <c r="J525" s="34">
        <v>389.54</v>
      </c>
      <c r="K525" s="34">
        <v>2810.3</v>
      </c>
      <c r="L525" s="33" t="s">
        <v>14</v>
      </c>
      <c r="M525" s="34" t="e">
        <f t="shared" si="75"/>
        <v>#DIV/0!</v>
      </c>
      <c r="N525" s="27"/>
      <c r="O525" s="34" t="e">
        <f t="shared" si="76"/>
        <v>#DIV/0!</v>
      </c>
      <c r="P525" s="35" t="e">
        <f t="shared" si="74"/>
        <v>#VALUE!</v>
      </c>
      <c r="Q525" s="34" t="e">
        <f t="shared" si="77"/>
        <v>#DIV/0!</v>
      </c>
      <c r="R525" s="35"/>
    </row>
    <row r="526" spans="1:18" x14ac:dyDescent="0.3">
      <c r="A526" s="37" t="s">
        <v>77</v>
      </c>
      <c r="B526" s="33" t="s">
        <v>94</v>
      </c>
      <c r="C526" s="34">
        <v>550</v>
      </c>
      <c r="D526" s="33">
        <v>25</v>
      </c>
      <c r="E526" s="33">
        <v>49.12</v>
      </c>
      <c r="F526" s="33">
        <v>562.5</v>
      </c>
      <c r="G526" s="34">
        <v>61.62</v>
      </c>
      <c r="H526" s="34">
        <v>0</v>
      </c>
      <c r="I526" s="34">
        <v>611.62</v>
      </c>
      <c r="J526" s="34">
        <v>108.03</v>
      </c>
      <c r="K526" s="34">
        <v>719.65</v>
      </c>
      <c r="L526" s="33">
        <v>100174</v>
      </c>
      <c r="M526" s="34" t="e">
        <f t="shared" si="75"/>
        <v>#DIV/0!</v>
      </c>
      <c r="N526" s="27"/>
      <c r="O526" s="34" t="e">
        <f t="shared" si="76"/>
        <v>#DIV/0!</v>
      </c>
      <c r="P526" s="35" t="e">
        <f t="shared" si="74"/>
        <v>#VALUE!</v>
      </c>
      <c r="Q526" s="34" t="e">
        <f t="shared" si="77"/>
        <v>#DIV/0!</v>
      </c>
      <c r="R526" s="35"/>
    </row>
    <row r="527" spans="1:18" x14ac:dyDescent="0.3">
      <c r="A527" s="37" t="s">
        <v>77</v>
      </c>
      <c r="B527" s="33" t="s">
        <v>94</v>
      </c>
      <c r="C527" s="34">
        <v>1576</v>
      </c>
      <c r="D527" s="33">
        <v>80</v>
      </c>
      <c r="E527" s="33">
        <v>610.75</v>
      </c>
      <c r="F527" s="33">
        <v>1800</v>
      </c>
      <c r="G527" s="34">
        <v>394.75</v>
      </c>
      <c r="H527" s="34">
        <v>440</v>
      </c>
      <c r="I527" s="34">
        <v>2410.75</v>
      </c>
      <c r="J527" s="34">
        <v>384.49</v>
      </c>
      <c r="K527" s="34">
        <v>2795.24</v>
      </c>
      <c r="L527" s="33" t="s">
        <v>14</v>
      </c>
      <c r="M527" s="34" t="e">
        <f t="shared" si="75"/>
        <v>#DIV/0!</v>
      </c>
      <c r="N527" s="27"/>
      <c r="O527" s="34" t="e">
        <f t="shared" si="76"/>
        <v>#DIV/0!</v>
      </c>
      <c r="P527" s="35" t="e">
        <f t="shared" si="74"/>
        <v>#VALUE!</v>
      </c>
      <c r="Q527" s="34" t="e">
        <f t="shared" si="77"/>
        <v>#DIV/0!</v>
      </c>
      <c r="R527" s="35"/>
    </row>
    <row r="528" spans="1:18" x14ac:dyDescent="0.3">
      <c r="A528" s="37" t="s">
        <v>77</v>
      </c>
      <c r="B528" s="33" t="s">
        <v>94</v>
      </c>
      <c r="C528" s="34">
        <v>2142</v>
      </c>
      <c r="D528" s="33">
        <v>80</v>
      </c>
      <c r="E528" s="33">
        <v>768.08</v>
      </c>
      <c r="F528" s="33">
        <v>1800</v>
      </c>
      <c r="G528" s="34">
        <v>426.08</v>
      </c>
      <c r="H528" s="34">
        <v>0</v>
      </c>
      <c r="I528" s="34">
        <v>2568.08</v>
      </c>
      <c r="J528" s="34">
        <v>399.11</v>
      </c>
      <c r="K528" s="34">
        <v>2967.19</v>
      </c>
      <c r="L528" s="33" t="s">
        <v>14</v>
      </c>
      <c r="M528" s="34" t="e">
        <f t="shared" si="75"/>
        <v>#DIV/0!</v>
      </c>
      <c r="N528" s="27"/>
      <c r="O528" s="34" t="e">
        <f t="shared" si="76"/>
        <v>#DIV/0!</v>
      </c>
      <c r="P528" s="35" t="e">
        <f t="shared" si="74"/>
        <v>#VALUE!</v>
      </c>
      <c r="Q528" s="34" t="e">
        <f t="shared" si="77"/>
        <v>#DIV/0!</v>
      </c>
      <c r="R528" s="35"/>
    </row>
    <row r="529" spans="1:18" x14ac:dyDescent="0.3">
      <c r="A529" s="37" t="s">
        <v>77</v>
      </c>
      <c r="B529" s="33" t="s">
        <v>94</v>
      </c>
      <c r="C529" s="34">
        <v>1925</v>
      </c>
      <c r="D529" s="33">
        <v>80</v>
      </c>
      <c r="E529" s="33">
        <v>1046.49</v>
      </c>
      <c r="F529" s="33">
        <v>1800</v>
      </c>
      <c r="G529" s="34">
        <v>481.49</v>
      </c>
      <c r="H529" s="34">
        <v>440</v>
      </c>
      <c r="I529" s="34">
        <v>2846.49</v>
      </c>
      <c r="J529" s="34">
        <v>424.98</v>
      </c>
      <c r="K529" s="34">
        <v>3271.47</v>
      </c>
      <c r="L529" s="33" t="s">
        <v>14</v>
      </c>
      <c r="M529" s="34" t="e">
        <f t="shared" si="75"/>
        <v>#DIV/0!</v>
      </c>
      <c r="N529" s="27"/>
      <c r="O529" s="34" t="e">
        <f t="shared" si="76"/>
        <v>#DIV/0!</v>
      </c>
      <c r="P529" s="35" t="e">
        <f t="shared" si="74"/>
        <v>#VALUE!</v>
      </c>
      <c r="Q529" s="34" t="e">
        <f t="shared" si="77"/>
        <v>#DIV/0!</v>
      </c>
      <c r="R529" s="35"/>
    </row>
    <row r="530" spans="1:18" x14ac:dyDescent="0.3">
      <c r="A530" s="37" t="s">
        <v>77</v>
      </c>
      <c r="B530" s="33" t="s">
        <v>94</v>
      </c>
      <c r="C530" s="34">
        <v>1121</v>
      </c>
      <c r="D530" s="33">
        <v>80</v>
      </c>
      <c r="E530" s="33">
        <v>304.89999999999998</v>
      </c>
      <c r="F530" s="33">
        <v>1800</v>
      </c>
      <c r="G530" s="34">
        <v>333.9</v>
      </c>
      <c r="H530" s="34">
        <v>650</v>
      </c>
      <c r="I530" s="34">
        <v>2104.9</v>
      </c>
      <c r="J530" s="34">
        <v>356.09</v>
      </c>
      <c r="K530" s="34">
        <v>2460.9899999999998</v>
      </c>
      <c r="L530" s="33" t="s">
        <v>14</v>
      </c>
      <c r="M530" s="34" t="e">
        <f t="shared" si="75"/>
        <v>#DIV/0!</v>
      </c>
      <c r="N530" s="27"/>
      <c r="O530" s="34" t="e">
        <f t="shared" si="76"/>
        <v>#DIV/0!</v>
      </c>
      <c r="P530" s="35" t="e">
        <f t="shared" si="74"/>
        <v>#VALUE!</v>
      </c>
      <c r="Q530" s="34" t="e">
        <f t="shared" si="77"/>
        <v>#DIV/0!</v>
      </c>
      <c r="R530" s="35"/>
    </row>
    <row r="531" spans="1:18" x14ac:dyDescent="0.3">
      <c r="A531" s="32">
        <v>43637</v>
      </c>
      <c r="B531" s="33" t="s">
        <v>94</v>
      </c>
      <c r="C531" s="34">
        <v>1506</v>
      </c>
      <c r="D531" s="36">
        <v>64.5</v>
      </c>
      <c r="E531" s="33">
        <v>1213.8900000000001</v>
      </c>
      <c r="F531" s="33">
        <v>1800</v>
      </c>
      <c r="G531" s="34">
        <v>417.89</v>
      </c>
      <c r="H531" s="34">
        <v>1090</v>
      </c>
      <c r="I531" s="34">
        <v>3013.89</v>
      </c>
      <c r="J531" s="34">
        <v>440.53</v>
      </c>
      <c r="K531" s="34">
        <v>3454.42</v>
      </c>
      <c r="L531" s="33" t="s">
        <v>14</v>
      </c>
      <c r="M531" s="34">
        <f t="shared" si="75"/>
        <v>40.728243243243249</v>
      </c>
      <c r="N531" s="27">
        <v>74</v>
      </c>
      <c r="O531" s="38">
        <f>(M531*0.5)*24.5</f>
        <v>498.92097972972982</v>
      </c>
      <c r="P531" s="35">
        <f t="shared" si="74"/>
        <v>69.849999999999994</v>
      </c>
      <c r="Q531" s="34">
        <f t="shared" si="77"/>
        <v>748.38146959459471</v>
      </c>
      <c r="R531" s="35"/>
    </row>
    <row r="532" spans="1:18" x14ac:dyDescent="0.3">
      <c r="A532" s="32">
        <v>43651</v>
      </c>
      <c r="B532" s="33" t="s">
        <v>94</v>
      </c>
      <c r="C532" s="34">
        <v>4843</v>
      </c>
      <c r="D532" s="33">
        <v>80</v>
      </c>
      <c r="E532" s="33">
        <v>790.18</v>
      </c>
      <c r="F532" s="36">
        <v>1800</v>
      </c>
      <c r="G532" s="34">
        <v>247.18</v>
      </c>
      <c r="H532" s="34">
        <v>0</v>
      </c>
      <c r="I532" s="34">
        <v>5090.18</v>
      </c>
      <c r="J532" s="34">
        <v>401.16</v>
      </c>
      <c r="K532" s="34">
        <v>5491.34</v>
      </c>
      <c r="L532" s="33" t="s">
        <v>14</v>
      </c>
      <c r="M532" s="34">
        <f t="shared" si="75"/>
        <v>24.320938967136147</v>
      </c>
      <c r="N532" s="27">
        <v>106.5</v>
      </c>
      <c r="O532" s="34">
        <f t="shared" ref="O532:O542" si="78">((N532-80)*M532)*0.5</f>
        <v>322.25244131455395</v>
      </c>
      <c r="P532" s="35">
        <f t="shared" si="74"/>
        <v>45.12</v>
      </c>
      <c r="Q532" s="34">
        <f t="shared" si="77"/>
        <v>483.37866197183092</v>
      </c>
      <c r="R532" s="35"/>
    </row>
    <row r="533" spans="1:18" x14ac:dyDescent="0.3">
      <c r="A533" s="32">
        <v>43665</v>
      </c>
      <c r="B533" s="33" t="s">
        <v>94</v>
      </c>
      <c r="C533" s="34">
        <v>2002</v>
      </c>
      <c r="D533" s="33">
        <v>80</v>
      </c>
      <c r="E533" s="33">
        <v>275.64999999999998</v>
      </c>
      <c r="F533" s="33">
        <v>2002</v>
      </c>
      <c r="G533" s="34">
        <v>275.64999999999998</v>
      </c>
      <c r="H533" s="34">
        <v>0</v>
      </c>
      <c r="I533" s="34">
        <v>2277.65</v>
      </c>
      <c r="J533" s="34">
        <v>372.15</v>
      </c>
      <c r="K533" s="34">
        <v>2649.8</v>
      </c>
      <c r="L533" s="33" t="s">
        <v>14</v>
      </c>
      <c r="M533" s="34">
        <f t="shared" si="75"/>
        <v>25.029120879120882</v>
      </c>
      <c r="N533" s="27">
        <v>91</v>
      </c>
      <c r="O533" s="34">
        <f t="shared" si="78"/>
        <v>137.66016483516484</v>
      </c>
      <c r="P533" s="35">
        <f t="shared" si="74"/>
        <v>17.899999999999999</v>
      </c>
      <c r="Q533" s="34">
        <f t="shared" si="77"/>
        <v>206.49024725274725</v>
      </c>
      <c r="R533" s="35"/>
    </row>
    <row r="534" spans="1:18" x14ac:dyDescent="0.3">
      <c r="A534" s="32">
        <v>43679</v>
      </c>
      <c r="B534" s="33" t="s">
        <v>94</v>
      </c>
      <c r="C534" s="34">
        <v>198</v>
      </c>
      <c r="D534" s="33">
        <v>49</v>
      </c>
      <c r="E534" s="33">
        <v>120.69</v>
      </c>
      <c r="F534" s="33">
        <v>1078</v>
      </c>
      <c r="G534" s="34">
        <v>120.76</v>
      </c>
      <c r="H534" s="34">
        <v>879.93</v>
      </c>
      <c r="I534" s="34">
        <v>1198.69</v>
      </c>
      <c r="J534" s="34">
        <v>209.69</v>
      </c>
      <c r="K534" s="34">
        <v>1408.38</v>
      </c>
      <c r="L534" s="33" t="s">
        <v>14</v>
      </c>
      <c r="M534" s="38">
        <v>16</v>
      </c>
      <c r="N534" s="27">
        <v>123</v>
      </c>
      <c r="O534" s="34">
        <f t="shared" si="78"/>
        <v>344</v>
      </c>
      <c r="P534" s="35">
        <f t="shared" si="74"/>
        <v>44.72</v>
      </c>
      <c r="Q534" s="34">
        <f t="shared" si="77"/>
        <v>516</v>
      </c>
      <c r="R534" s="35"/>
    </row>
    <row r="535" spans="1:18" x14ac:dyDescent="0.3">
      <c r="A535" s="32">
        <v>43693</v>
      </c>
      <c r="B535" s="33" t="s">
        <v>94</v>
      </c>
      <c r="C535" s="34">
        <v>1762</v>
      </c>
      <c r="D535" s="33">
        <v>80</v>
      </c>
      <c r="E535" s="33">
        <v>443.75</v>
      </c>
      <c r="F535" s="33">
        <v>2962</v>
      </c>
      <c r="G535" s="34">
        <v>409.43</v>
      </c>
      <c r="H535" s="34">
        <v>800</v>
      </c>
      <c r="I535" s="34">
        <v>2971.43</v>
      </c>
      <c r="J535" s="34">
        <v>436.57</v>
      </c>
      <c r="K535" s="34">
        <v>3408</v>
      </c>
      <c r="L535" s="33" t="s">
        <v>14</v>
      </c>
      <c r="M535" s="34">
        <f t="shared" ref="M535:M540" si="79">(E535+F535)/N535</f>
        <v>27.689024390243901</v>
      </c>
      <c r="N535" s="27">
        <v>123</v>
      </c>
      <c r="O535" s="34">
        <f t="shared" si="78"/>
        <v>595.31402439024384</v>
      </c>
      <c r="P535" s="35">
        <f t="shared" si="74"/>
        <v>71.44</v>
      </c>
      <c r="Q535" s="34">
        <f t="shared" si="77"/>
        <v>892.97103658536571</v>
      </c>
      <c r="R535" s="35"/>
    </row>
    <row r="536" spans="1:18" x14ac:dyDescent="0.3">
      <c r="A536" s="32">
        <v>43707</v>
      </c>
      <c r="B536" s="33" t="s">
        <v>94</v>
      </c>
      <c r="C536" s="34">
        <v>2160</v>
      </c>
      <c r="D536" s="33">
        <v>80</v>
      </c>
      <c r="E536" s="33">
        <v>617.57000000000005</v>
      </c>
      <c r="F536" s="33">
        <v>3400</v>
      </c>
      <c r="G536" s="34">
        <v>617.66999999999996</v>
      </c>
      <c r="H536" s="34">
        <v>1240</v>
      </c>
      <c r="I536" s="34">
        <v>4017.67</v>
      </c>
      <c r="J536" s="34">
        <v>528.69000000000005</v>
      </c>
      <c r="K536" s="34">
        <v>4546.3599999999997</v>
      </c>
      <c r="L536" s="33" t="s">
        <v>14</v>
      </c>
      <c r="M536" s="34">
        <f t="shared" si="79"/>
        <v>26.963557046979865</v>
      </c>
      <c r="N536" s="27">
        <v>149</v>
      </c>
      <c r="O536" s="34">
        <f t="shared" si="78"/>
        <v>930.24271812080531</v>
      </c>
      <c r="P536" s="35">
        <f t="shared" si="74"/>
        <v>111.63</v>
      </c>
      <c r="Q536" s="34">
        <f t="shared" si="77"/>
        <v>1395.3640771812079</v>
      </c>
      <c r="R536" s="35"/>
    </row>
    <row r="537" spans="1:18" x14ac:dyDescent="0.3">
      <c r="A537" s="32">
        <v>43721</v>
      </c>
      <c r="B537" s="33" t="s">
        <v>94</v>
      </c>
      <c r="C537" s="34">
        <v>1509</v>
      </c>
      <c r="D537" s="33">
        <v>80</v>
      </c>
      <c r="E537" s="33">
        <v>371.41</v>
      </c>
      <c r="F537" s="33">
        <v>2409</v>
      </c>
      <c r="G537" s="34">
        <v>371.41</v>
      </c>
      <c r="H537" s="34">
        <v>900</v>
      </c>
      <c r="I537" s="34">
        <v>2780.41</v>
      </c>
      <c r="J537" s="34">
        <v>373.24</v>
      </c>
      <c r="K537" s="34">
        <v>3153.65</v>
      </c>
      <c r="L537" s="33" t="s">
        <v>14</v>
      </c>
      <c r="M537" s="34">
        <f t="shared" si="79"/>
        <v>25.864279069767441</v>
      </c>
      <c r="N537" s="27">
        <v>107.5</v>
      </c>
      <c r="O537" s="34">
        <f t="shared" si="78"/>
        <v>355.63383720930233</v>
      </c>
      <c r="P537" s="35">
        <f t="shared" si="74"/>
        <v>39.119999999999997</v>
      </c>
      <c r="Q537" s="34">
        <f t="shared" si="77"/>
        <v>533.45075581395349</v>
      </c>
      <c r="R537" s="35"/>
    </row>
    <row r="538" spans="1:18" x14ac:dyDescent="0.3">
      <c r="A538" s="32">
        <v>43735</v>
      </c>
      <c r="B538" s="33" t="s">
        <v>94</v>
      </c>
      <c r="C538" s="34">
        <v>3171</v>
      </c>
      <c r="D538" s="33">
        <v>80</v>
      </c>
      <c r="E538" s="33">
        <v>670.09</v>
      </c>
      <c r="F538" s="33">
        <v>3611</v>
      </c>
      <c r="G538" s="34">
        <v>670.09</v>
      </c>
      <c r="H538" s="34">
        <v>440</v>
      </c>
      <c r="I538" s="34">
        <v>4281.09</v>
      </c>
      <c r="J538" s="34">
        <v>488.04</v>
      </c>
      <c r="K538" s="34">
        <v>4769.13</v>
      </c>
      <c r="L538" s="33" t="s">
        <v>14</v>
      </c>
      <c r="M538" s="34">
        <f t="shared" si="79"/>
        <v>27.980980392156862</v>
      </c>
      <c r="N538" s="27">
        <v>153</v>
      </c>
      <c r="O538" s="34">
        <f t="shared" si="78"/>
        <v>1021.3057843137254</v>
      </c>
      <c r="P538" s="35">
        <f t="shared" si="74"/>
        <v>112.34</v>
      </c>
      <c r="Q538" s="34">
        <f t="shared" si="77"/>
        <v>1531.9586764705882</v>
      </c>
      <c r="R538" s="35"/>
    </row>
    <row r="539" spans="1:18" x14ac:dyDescent="0.3">
      <c r="A539" s="32">
        <v>43749</v>
      </c>
      <c r="B539" s="33" t="s">
        <v>94</v>
      </c>
      <c r="C539" s="34">
        <v>3749</v>
      </c>
      <c r="D539" s="33">
        <v>80</v>
      </c>
      <c r="E539" s="33">
        <v>704.4</v>
      </c>
      <c r="F539" s="33">
        <v>3749</v>
      </c>
      <c r="G539" s="34">
        <v>704.4</v>
      </c>
      <c r="H539" s="34">
        <v>0</v>
      </c>
      <c r="I539" s="34">
        <v>4453.3999999999996</v>
      </c>
      <c r="J539" s="34">
        <v>501.23</v>
      </c>
      <c r="K539" s="34">
        <v>4954.63</v>
      </c>
      <c r="L539" s="33" t="s">
        <v>14</v>
      </c>
      <c r="M539" s="34">
        <f t="shared" si="79"/>
        <v>27.921003134796237</v>
      </c>
      <c r="N539" s="27">
        <v>159.5</v>
      </c>
      <c r="O539" s="34">
        <f t="shared" si="78"/>
        <v>1109.8598746081504</v>
      </c>
      <c r="P539" s="35">
        <f t="shared" si="74"/>
        <v>110.99</v>
      </c>
      <c r="Q539" s="34">
        <f t="shared" si="77"/>
        <v>1664.7898119122256</v>
      </c>
      <c r="R539" s="35"/>
    </row>
    <row r="540" spans="1:18" x14ac:dyDescent="0.3">
      <c r="A540" s="32">
        <v>43763</v>
      </c>
      <c r="B540" s="33" t="s">
        <v>94</v>
      </c>
      <c r="C540" s="34">
        <v>2541</v>
      </c>
      <c r="D540" s="33">
        <v>80</v>
      </c>
      <c r="E540" s="33">
        <v>404.21</v>
      </c>
      <c r="F540" s="33">
        <v>2541</v>
      </c>
      <c r="G540" s="34">
        <v>404.21</v>
      </c>
      <c r="H540" s="34">
        <v>0</v>
      </c>
      <c r="I540" s="34">
        <v>2945.21</v>
      </c>
      <c r="J540" s="34">
        <v>385.85</v>
      </c>
      <c r="K540" s="34">
        <v>3331.06</v>
      </c>
      <c r="L540" s="33" t="s">
        <v>14</v>
      </c>
      <c r="M540" s="34">
        <f t="shared" si="79"/>
        <v>26.653484162895928</v>
      </c>
      <c r="N540" s="27">
        <v>110.5</v>
      </c>
      <c r="O540" s="34">
        <f t="shared" si="78"/>
        <v>406.46563348416294</v>
      </c>
      <c r="P540" s="35">
        <f t="shared" si="74"/>
        <v>40.65</v>
      </c>
      <c r="Q540" s="34">
        <f t="shared" si="77"/>
        <v>609.6984502262444</v>
      </c>
      <c r="R540" s="35"/>
    </row>
    <row r="541" spans="1:18" x14ac:dyDescent="0.3">
      <c r="A541" s="32">
        <v>43777</v>
      </c>
      <c r="B541" s="33" t="s">
        <v>94</v>
      </c>
      <c r="C541" s="34">
        <v>829</v>
      </c>
      <c r="D541" s="33">
        <v>80</v>
      </c>
      <c r="E541" s="33">
        <v>117.26</v>
      </c>
      <c r="F541" s="33">
        <v>829</v>
      </c>
      <c r="G541" s="34">
        <v>117.26</v>
      </c>
      <c r="H541" s="34">
        <v>0</v>
      </c>
      <c r="I541" s="34">
        <v>946.26</v>
      </c>
      <c r="J541" s="34">
        <v>232.92</v>
      </c>
      <c r="K541" s="34">
        <v>1179.18</v>
      </c>
      <c r="L541" s="33" t="s">
        <v>14</v>
      </c>
      <c r="M541" s="38">
        <v>16</v>
      </c>
      <c r="N541" s="27">
        <v>136.5</v>
      </c>
      <c r="O541" s="34">
        <f t="shared" si="78"/>
        <v>452</v>
      </c>
      <c r="P541" s="35">
        <f t="shared" si="74"/>
        <v>40.68</v>
      </c>
      <c r="Q541" s="34">
        <f t="shared" si="77"/>
        <v>678</v>
      </c>
      <c r="R541" s="35"/>
    </row>
    <row r="542" spans="1:18" x14ac:dyDescent="0.3">
      <c r="A542" s="32">
        <v>43791</v>
      </c>
      <c r="B542" s="33" t="s">
        <v>94</v>
      </c>
      <c r="C542" s="34">
        <v>3277</v>
      </c>
      <c r="D542" s="33">
        <v>80</v>
      </c>
      <c r="E542" s="33">
        <v>587.11</v>
      </c>
      <c r="F542" s="33">
        <v>3277</v>
      </c>
      <c r="G542" s="34">
        <v>587.11</v>
      </c>
      <c r="H542" s="34">
        <v>0</v>
      </c>
      <c r="I542" s="34">
        <v>3864.11</v>
      </c>
      <c r="J542" s="34">
        <v>456.15</v>
      </c>
      <c r="K542" s="34">
        <v>4320.26</v>
      </c>
      <c r="L542" s="33" t="s">
        <v>14</v>
      </c>
      <c r="M542" s="34">
        <f t="shared" ref="M542:M556" si="80">(E542+F542)/N542</f>
        <v>27.502562277580072</v>
      </c>
      <c r="N542" s="27">
        <v>140.5</v>
      </c>
      <c r="O542" s="34">
        <f t="shared" si="78"/>
        <v>831.95250889679721</v>
      </c>
      <c r="P542" s="35">
        <f t="shared" si="74"/>
        <v>74.88</v>
      </c>
      <c r="Q542" s="34">
        <f t="shared" si="77"/>
        <v>1247.9287633451959</v>
      </c>
      <c r="R542" s="35"/>
    </row>
    <row r="543" spans="1:18" x14ac:dyDescent="0.3">
      <c r="A543" s="32">
        <v>43805</v>
      </c>
      <c r="B543" s="33" t="s">
        <v>94</v>
      </c>
      <c r="C543" s="34">
        <v>2438</v>
      </c>
      <c r="D543" s="36">
        <v>73</v>
      </c>
      <c r="E543" s="33">
        <v>378.62</v>
      </c>
      <c r="F543" s="33">
        <v>2438</v>
      </c>
      <c r="G543" s="34">
        <v>378.62</v>
      </c>
      <c r="H543" s="34">
        <v>0</v>
      </c>
      <c r="I543" s="34">
        <v>2816.62</v>
      </c>
      <c r="J543" s="34">
        <v>376.01</v>
      </c>
      <c r="K543" s="34">
        <v>3192.63</v>
      </c>
      <c r="L543" s="33" t="s">
        <v>14</v>
      </c>
      <c r="M543" s="34">
        <f t="shared" si="80"/>
        <v>26.57188679245283</v>
      </c>
      <c r="N543" s="27">
        <v>106</v>
      </c>
      <c r="O543" s="38">
        <f>(M543*0.5)*33</f>
        <v>438.43613207547168</v>
      </c>
      <c r="P543" s="35">
        <f t="shared" si="74"/>
        <v>39.46</v>
      </c>
      <c r="Q543" s="34">
        <f t="shared" si="77"/>
        <v>657.65419811320749</v>
      </c>
      <c r="R543" s="35"/>
    </row>
    <row r="544" spans="1:18" x14ac:dyDescent="0.3">
      <c r="A544" s="32">
        <v>43819</v>
      </c>
      <c r="B544" s="33" t="s">
        <v>94</v>
      </c>
      <c r="C544" s="34">
        <v>3500</v>
      </c>
      <c r="D544" s="33">
        <v>80</v>
      </c>
      <c r="E544" s="33">
        <v>489.95</v>
      </c>
      <c r="F544" s="36">
        <v>2272</v>
      </c>
      <c r="G544" s="34">
        <v>489.95</v>
      </c>
      <c r="H544" s="34">
        <v>0</v>
      </c>
      <c r="I544" s="34">
        <v>3989.95</v>
      </c>
      <c r="J544" s="34">
        <v>418.81</v>
      </c>
      <c r="K544" s="34">
        <v>4408.76</v>
      </c>
      <c r="L544" s="33" t="s">
        <v>14</v>
      </c>
      <c r="M544" s="34">
        <f t="shared" si="80"/>
        <v>23.30759493670886</v>
      </c>
      <c r="N544" s="27">
        <v>118.5</v>
      </c>
      <c r="O544" s="34">
        <f t="shared" ref="O544:O551" si="81">((N544-80)*M544)*0.5</f>
        <v>448.67120253164558</v>
      </c>
      <c r="P544" s="35">
        <f t="shared" si="74"/>
        <v>35.89</v>
      </c>
      <c r="Q544" s="34">
        <f t="shared" si="77"/>
        <v>673.00680379746836</v>
      </c>
      <c r="R544" s="35"/>
    </row>
    <row r="545" spans="1:18" x14ac:dyDescent="0.3">
      <c r="A545" s="32">
        <v>43833</v>
      </c>
      <c r="B545" s="33" t="s">
        <v>94</v>
      </c>
      <c r="C545" s="34">
        <v>1937</v>
      </c>
      <c r="D545" s="33">
        <v>80</v>
      </c>
      <c r="E545" s="33">
        <v>410.12</v>
      </c>
      <c r="F545" s="33">
        <v>2587</v>
      </c>
      <c r="G545" s="34">
        <v>410.12</v>
      </c>
      <c r="H545" s="34">
        <v>650</v>
      </c>
      <c r="I545" s="34">
        <v>2997.12</v>
      </c>
      <c r="J545" s="34">
        <v>456.95</v>
      </c>
      <c r="K545" s="34">
        <v>3454.07</v>
      </c>
      <c r="L545" s="33" t="s">
        <v>14</v>
      </c>
      <c r="M545" s="34">
        <f t="shared" si="80"/>
        <v>26.641066666666667</v>
      </c>
      <c r="N545" s="27">
        <v>112.5</v>
      </c>
      <c r="O545" s="34">
        <f t="shared" si="81"/>
        <v>432.91733333333332</v>
      </c>
      <c r="P545" s="35">
        <f t="shared" si="74"/>
        <v>34.630000000000003</v>
      </c>
      <c r="Q545" s="34">
        <f t="shared" si="77"/>
        <v>649.37599999999998</v>
      </c>
      <c r="R545" s="35"/>
    </row>
    <row r="546" spans="1:18" x14ac:dyDescent="0.3">
      <c r="A546" s="32">
        <v>43847</v>
      </c>
      <c r="B546" s="33" t="s">
        <v>94</v>
      </c>
      <c r="C546" s="34">
        <v>2633</v>
      </c>
      <c r="D546" s="33">
        <v>80</v>
      </c>
      <c r="E546" s="33"/>
      <c r="F546" s="33">
        <v>2633</v>
      </c>
      <c r="G546" s="34">
        <v>337.66</v>
      </c>
      <c r="H546" s="34">
        <v>0</v>
      </c>
      <c r="I546" s="34">
        <v>2970.66</v>
      </c>
      <c r="J546" s="34">
        <v>420.96</v>
      </c>
      <c r="K546" s="34">
        <v>3391.62</v>
      </c>
      <c r="L546" s="33" t="s">
        <v>14</v>
      </c>
      <c r="M546" s="34">
        <f t="shared" si="80"/>
        <v>22.995633187772924</v>
      </c>
      <c r="N546" s="27">
        <v>114.5</v>
      </c>
      <c r="O546" s="34">
        <f t="shared" si="81"/>
        <v>396.67467248908292</v>
      </c>
      <c r="P546" s="35">
        <f t="shared" si="74"/>
        <v>27.77</v>
      </c>
      <c r="Q546" s="34">
        <f t="shared" si="77"/>
        <v>595.01200873362438</v>
      </c>
      <c r="R546" s="35"/>
    </row>
    <row r="547" spans="1:18" x14ac:dyDescent="0.3">
      <c r="A547" s="32">
        <v>43861</v>
      </c>
      <c r="B547" s="33" t="s">
        <v>94</v>
      </c>
      <c r="C547" s="34">
        <v>3307</v>
      </c>
      <c r="D547" s="33">
        <v>80</v>
      </c>
      <c r="E547" s="33"/>
      <c r="F547" s="33">
        <v>3307</v>
      </c>
      <c r="G547" s="34">
        <v>471.8</v>
      </c>
      <c r="H547" s="34">
        <v>0</v>
      </c>
      <c r="I547" s="34">
        <v>3778.8</v>
      </c>
      <c r="J547" s="34">
        <v>475.97</v>
      </c>
      <c r="K547" s="34">
        <v>4254.7700000000004</v>
      </c>
      <c r="L547" s="33" t="s">
        <v>14</v>
      </c>
      <c r="M547" s="34">
        <f t="shared" si="80"/>
        <v>23.537366548042705</v>
      </c>
      <c r="N547" s="27">
        <v>140.5</v>
      </c>
      <c r="O547" s="34">
        <f t="shared" si="81"/>
        <v>712.00533807829186</v>
      </c>
      <c r="P547" s="35">
        <f t="shared" si="74"/>
        <v>49.84</v>
      </c>
      <c r="Q547" s="34">
        <f t="shared" si="77"/>
        <v>1068.0080071174377</v>
      </c>
      <c r="R547" s="35"/>
    </row>
    <row r="548" spans="1:18" x14ac:dyDescent="0.3">
      <c r="A548" s="32">
        <v>43875</v>
      </c>
      <c r="B548" s="33" t="s">
        <v>94</v>
      </c>
      <c r="C548" s="34">
        <v>3197</v>
      </c>
      <c r="D548" s="33">
        <v>80</v>
      </c>
      <c r="E548" s="33"/>
      <c r="F548" s="33">
        <v>3197</v>
      </c>
      <c r="G548" s="34">
        <v>441.09</v>
      </c>
      <c r="H548" s="34">
        <v>0</v>
      </c>
      <c r="I548" s="34">
        <v>3638.09</v>
      </c>
      <c r="J548" s="34">
        <v>409.42</v>
      </c>
      <c r="K548" s="34">
        <v>4047.51</v>
      </c>
      <c r="L548" s="33" t="s">
        <v>14</v>
      </c>
      <c r="M548" s="34">
        <f t="shared" si="80"/>
        <v>23</v>
      </c>
      <c r="N548" s="27">
        <v>139</v>
      </c>
      <c r="O548" s="34">
        <f t="shared" si="81"/>
        <v>678.5</v>
      </c>
      <c r="P548" s="35">
        <f t="shared" si="74"/>
        <v>40.71</v>
      </c>
      <c r="Q548" s="34">
        <f t="shared" si="77"/>
        <v>1017.75</v>
      </c>
      <c r="R548" s="35"/>
    </row>
    <row r="549" spans="1:18" x14ac:dyDescent="0.3">
      <c r="A549" s="32">
        <v>43889</v>
      </c>
      <c r="B549" s="33" t="s">
        <v>94</v>
      </c>
      <c r="C549" s="34">
        <v>3312</v>
      </c>
      <c r="D549" s="33">
        <v>80</v>
      </c>
      <c r="E549" s="33"/>
      <c r="F549" s="33">
        <v>3312</v>
      </c>
      <c r="G549" s="34">
        <v>463.98</v>
      </c>
      <c r="H549" s="34">
        <v>0</v>
      </c>
      <c r="I549" s="34">
        <v>3775.98</v>
      </c>
      <c r="J549" s="34">
        <v>420.11</v>
      </c>
      <c r="K549" s="34">
        <v>4196.09</v>
      </c>
      <c r="L549" s="33" t="s">
        <v>14</v>
      </c>
      <c r="M549" s="34">
        <f t="shared" si="80"/>
        <v>23</v>
      </c>
      <c r="N549" s="27">
        <v>144</v>
      </c>
      <c r="O549" s="34">
        <f t="shared" si="81"/>
        <v>736</v>
      </c>
      <c r="P549" s="35">
        <f t="shared" si="74"/>
        <v>44.16</v>
      </c>
      <c r="Q549" s="34">
        <f t="shared" si="77"/>
        <v>1104</v>
      </c>
      <c r="R549" s="35"/>
    </row>
    <row r="550" spans="1:18" x14ac:dyDescent="0.3">
      <c r="A550" s="32">
        <v>43903</v>
      </c>
      <c r="B550" s="33" t="s">
        <v>94</v>
      </c>
      <c r="C550" s="34">
        <v>2403</v>
      </c>
      <c r="D550" s="33">
        <v>80</v>
      </c>
      <c r="E550" s="33"/>
      <c r="F550" s="33">
        <v>2403</v>
      </c>
      <c r="G550" s="34">
        <v>285.8</v>
      </c>
      <c r="H550" s="34">
        <v>0</v>
      </c>
      <c r="I550" s="34">
        <v>2688.8</v>
      </c>
      <c r="J550" s="34">
        <v>335.66</v>
      </c>
      <c r="K550" s="34">
        <v>3024.46</v>
      </c>
      <c r="L550" s="33" t="s">
        <v>14</v>
      </c>
      <c r="M550" s="34">
        <f t="shared" si="80"/>
        <v>22.995215311004785</v>
      </c>
      <c r="N550" s="27">
        <v>104.5</v>
      </c>
      <c r="O550" s="34">
        <f t="shared" si="81"/>
        <v>281.69138755980862</v>
      </c>
      <c r="P550" s="35">
        <f t="shared" si="74"/>
        <v>14.08</v>
      </c>
      <c r="Q550" s="34">
        <f t="shared" si="77"/>
        <v>422.53708133971293</v>
      </c>
      <c r="R550" s="35"/>
    </row>
    <row r="551" spans="1:18" x14ac:dyDescent="0.3">
      <c r="A551" s="32">
        <v>43917</v>
      </c>
      <c r="B551" s="33" t="s">
        <v>94</v>
      </c>
      <c r="C551" s="34">
        <v>2658.55</v>
      </c>
      <c r="D551" s="33">
        <v>96</v>
      </c>
      <c r="E551" s="33"/>
      <c r="F551" s="36">
        <v>2868</v>
      </c>
      <c r="G551" s="34">
        <v>401.45</v>
      </c>
      <c r="H551" s="34">
        <v>0</v>
      </c>
      <c r="I551" s="34">
        <v>3060</v>
      </c>
      <c r="J551" s="34">
        <v>410.24</v>
      </c>
      <c r="K551" s="34">
        <v>3470.24</v>
      </c>
      <c r="L551" s="33" t="s">
        <v>14</v>
      </c>
      <c r="M551" s="34">
        <f t="shared" si="80"/>
        <v>32.96551724137931</v>
      </c>
      <c r="N551" s="27">
        <v>87</v>
      </c>
      <c r="O551" s="34">
        <f t="shared" si="81"/>
        <v>115.37931034482759</v>
      </c>
      <c r="P551" s="35">
        <f t="shared" si="74"/>
        <v>5.77</v>
      </c>
      <c r="Q551" s="34">
        <f t="shared" si="77"/>
        <v>173.06896551724139</v>
      </c>
      <c r="R551" s="35"/>
    </row>
    <row r="552" spans="1:18" x14ac:dyDescent="0.3">
      <c r="A552" s="32">
        <v>43931</v>
      </c>
      <c r="B552" s="33" t="s">
        <v>94</v>
      </c>
      <c r="C552" s="34">
        <v>1033.07</v>
      </c>
      <c r="D552" s="36">
        <v>28.5</v>
      </c>
      <c r="E552" s="33"/>
      <c r="F552" s="33">
        <v>1140</v>
      </c>
      <c r="G552" s="34">
        <v>106.93</v>
      </c>
      <c r="H552" s="34">
        <v>0</v>
      </c>
      <c r="I552" s="34">
        <v>1140</v>
      </c>
      <c r="J552" s="34">
        <v>162.12</v>
      </c>
      <c r="K552" s="34">
        <v>1302.1199999999999</v>
      </c>
      <c r="L552" s="33" t="s">
        <v>14</v>
      </c>
      <c r="M552" s="34">
        <f t="shared" si="80"/>
        <v>40</v>
      </c>
      <c r="N552" s="27">
        <v>28.5</v>
      </c>
      <c r="O552" s="34">
        <v>0</v>
      </c>
      <c r="P552" s="35">
        <f t="shared" si="74"/>
        <v>0</v>
      </c>
      <c r="Q552" s="34">
        <f t="shared" si="77"/>
        <v>0</v>
      </c>
      <c r="R552" s="35"/>
    </row>
    <row r="553" spans="1:18" x14ac:dyDescent="0.3">
      <c r="A553" s="37" t="s">
        <v>77</v>
      </c>
      <c r="B553" s="33" t="s">
        <v>94</v>
      </c>
      <c r="C553" s="34">
        <v>500</v>
      </c>
      <c r="D553" s="36">
        <v>19.36</v>
      </c>
      <c r="E553" s="33"/>
      <c r="F553" s="33">
        <v>551.76</v>
      </c>
      <c r="G553" s="34">
        <v>51.76</v>
      </c>
      <c r="H553" s="34">
        <v>0</v>
      </c>
      <c r="I553" s="34">
        <v>551.76</v>
      </c>
      <c r="J553" s="34">
        <v>78.28</v>
      </c>
      <c r="K553" s="34">
        <v>630.04</v>
      </c>
      <c r="L553" s="33" t="s">
        <v>14</v>
      </c>
      <c r="M553" s="34" t="e">
        <f t="shared" si="80"/>
        <v>#DIV/0!</v>
      </c>
      <c r="N553" s="27"/>
      <c r="O553" s="34" t="e">
        <f>((N553-80)*M553)*0.5</f>
        <v>#DIV/0!</v>
      </c>
      <c r="P553" s="35" t="e">
        <f t="shared" si="74"/>
        <v>#VALUE!</v>
      </c>
      <c r="Q553" s="34" t="e">
        <f t="shared" si="77"/>
        <v>#DIV/0!</v>
      </c>
      <c r="R553" s="35"/>
    </row>
    <row r="554" spans="1:18" x14ac:dyDescent="0.3">
      <c r="A554" s="37" t="s">
        <v>77</v>
      </c>
      <c r="B554" s="33" t="s">
        <v>94</v>
      </c>
      <c r="C554" s="34">
        <v>700.03</v>
      </c>
      <c r="D554" s="36">
        <v>27.11</v>
      </c>
      <c r="E554" s="33"/>
      <c r="F554" s="33">
        <v>772.49</v>
      </c>
      <c r="G554" s="34">
        <v>72.459999999999994</v>
      </c>
      <c r="H554" s="34">
        <v>0</v>
      </c>
      <c r="I554" s="34">
        <v>772.49</v>
      </c>
      <c r="J554" s="34">
        <v>109.6</v>
      </c>
      <c r="K554" s="34">
        <v>882.09</v>
      </c>
      <c r="L554" s="33" t="s">
        <v>14</v>
      </c>
      <c r="M554" s="34" t="e">
        <f t="shared" si="80"/>
        <v>#DIV/0!</v>
      </c>
      <c r="N554" s="27"/>
      <c r="O554" s="34" t="e">
        <f>((N554-80)*M554)*0.5</f>
        <v>#DIV/0!</v>
      </c>
      <c r="P554" s="35" t="e">
        <f t="shared" si="74"/>
        <v>#VALUE!</v>
      </c>
      <c r="Q554" s="34" t="e">
        <f t="shared" si="77"/>
        <v>#DIV/0!</v>
      </c>
      <c r="R554" s="35"/>
    </row>
    <row r="555" spans="1:18" x14ac:dyDescent="0.3">
      <c r="A555" s="32">
        <v>43973</v>
      </c>
      <c r="B555" s="33" t="s">
        <v>94</v>
      </c>
      <c r="C555" s="34">
        <v>1786.35</v>
      </c>
      <c r="D555" s="33">
        <v>80</v>
      </c>
      <c r="E555" s="33"/>
      <c r="F555" s="33">
        <v>2000</v>
      </c>
      <c r="G555" s="34">
        <v>213.65</v>
      </c>
      <c r="H555" s="34">
        <v>0</v>
      </c>
      <c r="I555" s="34">
        <v>2000</v>
      </c>
      <c r="J555" s="34">
        <v>301.69</v>
      </c>
      <c r="K555" s="34">
        <v>2301.69</v>
      </c>
      <c r="L555" s="33" t="s">
        <v>14</v>
      </c>
      <c r="M555" s="34">
        <f t="shared" si="80"/>
        <v>23.80952380952381</v>
      </c>
      <c r="N555" s="27">
        <v>84</v>
      </c>
      <c r="O555" s="34">
        <v>0</v>
      </c>
      <c r="P555" s="35">
        <f t="shared" si="74"/>
        <v>0</v>
      </c>
      <c r="Q555" s="34">
        <f t="shared" si="77"/>
        <v>0</v>
      </c>
      <c r="R555" s="35"/>
    </row>
    <row r="556" spans="1:18" x14ac:dyDescent="0.3">
      <c r="A556" s="32">
        <v>43987</v>
      </c>
      <c r="B556" s="33" t="s">
        <v>94</v>
      </c>
      <c r="C556" s="34">
        <v>2456.2600000000002</v>
      </c>
      <c r="D556" s="33">
        <v>86.5</v>
      </c>
      <c r="E556" s="33"/>
      <c r="F556" s="36">
        <v>2342.88</v>
      </c>
      <c r="G556" s="34">
        <v>316.62</v>
      </c>
      <c r="H556" s="34">
        <v>0</v>
      </c>
      <c r="I556" s="34">
        <v>2772.88</v>
      </c>
      <c r="J556" s="34">
        <v>356.97</v>
      </c>
      <c r="K556" s="34">
        <v>3129.85</v>
      </c>
      <c r="L556" s="33" t="s">
        <v>14</v>
      </c>
      <c r="M556" s="34">
        <f t="shared" si="80"/>
        <v>27.085317919075145</v>
      </c>
      <c r="N556" s="27">
        <v>86.5</v>
      </c>
      <c r="O556" s="34">
        <f>((N556-80)*M556)*0.5</f>
        <v>88.027283236994222</v>
      </c>
      <c r="P556" s="35">
        <f t="shared" si="74"/>
        <v>1.76</v>
      </c>
      <c r="Q556" s="34">
        <f t="shared" si="77"/>
        <v>132.04092485549134</v>
      </c>
      <c r="R556" s="35"/>
    </row>
    <row r="557" spans="1:18" x14ac:dyDescent="0.3">
      <c r="A557" s="32">
        <v>43995</v>
      </c>
      <c r="B557" s="33" t="s">
        <v>94</v>
      </c>
      <c r="C557" s="34"/>
      <c r="D557" s="31">
        <v>107</v>
      </c>
      <c r="E557" s="33"/>
      <c r="F557" s="33"/>
      <c r="G557" s="34"/>
      <c r="H557" s="34"/>
      <c r="I557" s="34"/>
      <c r="J557" s="34"/>
      <c r="K557" s="34"/>
      <c r="L557" s="33"/>
      <c r="M557" s="34"/>
      <c r="N557" s="27"/>
      <c r="O557" s="34"/>
      <c r="P557" s="35">
        <f t="shared" si="74"/>
        <v>0</v>
      </c>
      <c r="Q557" s="34"/>
      <c r="R557" s="35"/>
    </row>
    <row r="558" spans="1:18" x14ac:dyDescent="0.3">
      <c r="A558" s="32">
        <v>44009</v>
      </c>
      <c r="B558" s="33" t="s">
        <v>94</v>
      </c>
      <c r="C558" s="34"/>
      <c r="D558" s="31">
        <v>109.5</v>
      </c>
      <c r="E558" s="33"/>
      <c r="F558" s="33"/>
      <c r="G558" s="34"/>
      <c r="H558" s="34"/>
      <c r="I558" s="34"/>
      <c r="J558" s="34"/>
      <c r="K558" s="34"/>
      <c r="L558" s="33"/>
      <c r="M558" s="34"/>
      <c r="N558" s="27"/>
      <c r="O558" s="34"/>
      <c r="P558" s="35">
        <f t="shared" si="74"/>
        <v>0</v>
      </c>
      <c r="Q558" s="34"/>
      <c r="R558" s="35"/>
    </row>
    <row r="559" spans="1:18" x14ac:dyDescent="0.3">
      <c r="A559" s="32">
        <v>44023</v>
      </c>
      <c r="B559" s="33" t="s">
        <v>94</v>
      </c>
      <c r="C559" s="34"/>
      <c r="D559" s="31">
        <v>106</v>
      </c>
      <c r="E559" s="33"/>
      <c r="F559" s="33"/>
      <c r="G559" s="34"/>
      <c r="H559" s="34"/>
      <c r="I559" s="34"/>
      <c r="J559" s="34"/>
      <c r="K559" s="34"/>
      <c r="L559" s="33"/>
      <c r="M559" s="34"/>
      <c r="N559" s="27"/>
      <c r="O559" s="34"/>
      <c r="P559" s="35">
        <f t="shared" si="74"/>
        <v>0</v>
      </c>
      <c r="Q559" s="34"/>
      <c r="R559" s="35"/>
    </row>
    <row r="560" spans="1:18" x14ac:dyDescent="0.3">
      <c r="A560" s="32">
        <v>43819</v>
      </c>
      <c r="B560" s="33" t="s">
        <v>48</v>
      </c>
      <c r="C560" s="34">
        <v>1760</v>
      </c>
      <c r="D560" s="33">
        <v>80</v>
      </c>
      <c r="E560" s="33">
        <v>273.13</v>
      </c>
      <c r="F560" s="33">
        <v>1810</v>
      </c>
      <c r="G560" s="34">
        <v>273.13</v>
      </c>
      <c r="H560" s="34">
        <v>50</v>
      </c>
      <c r="I560" s="34">
        <v>2083.13</v>
      </c>
      <c r="J560" s="34">
        <v>366.57</v>
      </c>
      <c r="K560" s="34">
        <v>2449.6999999999998</v>
      </c>
      <c r="L560" s="33" t="s">
        <v>14</v>
      </c>
      <c r="M560" s="34">
        <f t="shared" ref="M560:M572" si="82">(E560+F560)/N560</f>
        <v>23.018011049723757</v>
      </c>
      <c r="N560" s="27">
        <v>90.5</v>
      </c>
      <c r="O560" s="34">
        <f>((N560-80)*M560)*0.5</f>
        <v>120.84455801104973</v>
      </c>
      <c r="P560" s="35">
        <f t="shared" si="74"/>
        <v>9.67</v>
      </c>
      <c r="Q560" s="34">
        <f t="shared" ref="Q560:Q572" si="83">O560*1.5</f>
        <v>181.26683701657458</v>
      </c>
      <c r="R560" s="35">
        <v>409.55</v>
      </c>
    </row>
    <row r="561" spans="1:18" x14ac:dyDescent="0.3">
      <c r="A561" s="32">
        <v>43833</v>
      </c>
      <c r="B561" s="33" t="s">
        <v>48</v>
      </c>
      <c r="C561" s="34">
        <v>1740</v>
      </c>
      <c r="D561" s="36">
        <v>49.5</v>
      </c>
      <c r="E561" s="33">
        <v>254.58</v>
      </c>
      <c r="F561" s="33">
        <v>1740</v>
      </c>
      <c r="G561" s="34">
        <v>254.58</v>
      </c>
      <c r="H561" s="34">
        <v>0</v>
      </c>
      <c r="I561" s="34">
        <v>1994.58</v>
      </c>
      <c r="J561" s="34">
        <v>357.8</v>
      </c>
      <c r="K561" s="34">
        <v>2352.38</v>
      </c>
      <c r="L561" s="33" t="s">
        <v>14</v>
      </c>
      <c r="M561" s="34">
        <f t="shared" si="82"/>
        <v>22.926206896551722</v>
      </c>
      <c r="N561" s="27">
        <v>87</v>
      </c>
      <c r="O561" s="38">
        <f>(M561*0.5)*9.5</f>
        <v>108.89948275862068</v>
      </c>
      <c r="P561" s="35">
        <f t="shared" si="74"/>
        <v>8.7100000000000009</v>
      </c>
      <c r="Q561" s="34">
        <f t="shared" si="83"/>
        <v>163.349224137931</v>
      </c>
      <c r="R561" s="35"/>
    </row>
    <row r="562" spans="1:18" x14ac:dyDescent="0.3">
      <c r="A562" s="32">
        <v>43847</v>
      </c>
      <c r="B562" s="33" t="s">
        <v>48</v>
      </c>
      <c r="C562" s="34">
        <v>1820</v>
      </c>
      <c r="D562" s="36">
        <v>51.5</v>
      </c>
      <c r="E562" s="33"/>
      <c r="F562" s="33">
        <v>1920</v>
      </c>
      <c r="G562" s="34">
        <v>241.23</v>
      </c>
      <c r="H562" s="34">
        <v>100</v>
      </c>
      <c r="I562" s="34">
        <v>2161.23</v>
      </c>
      <c r="J562" s="34">
        <v>350.43</v>
      </c>
      <c r="K562" s="34">
        <v>2511.66</v>
      </c>
      <c r="L562" s="33" t="s">
        <v>14</v>
      </c>
      <c r="M562" s="34">
        <f t="shared" si="82"/>
        <v>22.994011976047904</v>
      </c>
      <c r="N562" s="27">
        <v>83.5</v>
      </c>
      <c r="O562" s="38">
        <f>(M562*0.5)*11.5</f>
        <v>132.21556886227546</v>
      </c>
      <c r="P562" s="35">
        <f t="shared" si="74"/>
        <v>9.26</v>
      </c>
      <c r="Q562" s="34">
        <f t="shared" si="83"/>
        <v>198.32335329341319</v>
      </c>
      <c r="R562" s="35"/>
    </row>
    <row r="563" spans="1:18" x14ac:dyDescent="0.3">
      <c r="A563" s="32">
        <v>43861</v>
      </c>
      <c r="B563" s="33" t="s">
        <v>48</v>
      </c>
      <c r="C563" s="34">
        <v>1891</v>
      </c>
      <c r="D563" s="36">
        <v>52</v>
      </c>
      <c r="E563" s="33"/>
      <c r="F563" s="33">
        <v>1921</v>
      </c>
      <c r="G563" s="34">
        <v>241.42</v>
      </c>
      <c r="H563" s="34">
        <v>30</v>
      </c>
      <c r="I563" s="34">
        <v>2162.42</v>
      </c>
      <c r="J563" s="34">
        <v>350.53</v>
      </c>
      <c r="K563" s="34">
        <v>2512.9499999999998</v>
      </c>
      <c r="L563" s="33" t="s">
        <v>14</v>
      </c>
      <c r="M563" s="34">
        <f t="shared" si="82"/>
        <v>20.994535519125684</v>
      </c>
      <c r="N563" s="27">
        <v>91.5</v>
      </c>
      <c r="O563" s="38">
        <f>(M563*0.5)*12</f>
        <v>125.9672131147541</v>
      </c>
      <c r="P563" s="35">
        <f t="shared" si="74"/>
        <v>8.82</v>
      </c>
      <c r="Q563" s="34">
        <f t="shared" si="83"/>
        <v>188.95081967213116</v>
      </c>
      <c r="R563" s="35"/>
    </row>
    <row r="564" spans="1:18" x14ac:dyDescent="0.3">
      <c r="A564" s="32">
        <v>43875</v>
      </c>
      <c r="B564" s="33" t="s">
        <v>48</v>
      </c>
      <c r="C564" s="34">
        <v>2045</v>
      </c>
      <c r="D564" s="33">
        <v>80</v>
      </c>
      <c r="E564" s="33"/>
      <c r="F564" s="33">
        <v>2095</v>
      </c>
      <c r="G564" s="34">
        <v>263.73</v>
      </c>
      <c r="H564" s="34">
        <v>50</v>
      </c>
      <c r="I564" s="34">
        <v>2358.73</v>
      </c>
      <c r="J564" s="34">
        <v>314.02999999999997</v>
      </c>
      <c r="K564" s="34">
        <v>2672.76</v>
      </c>
      <c r="L564" s="33" t="s">
        <v>14</v>
      </c>
      <c r="M564" s="34">
        <f t="shared" si="82"/>
        <v>22.05263157894737</v>
      </c>
      <c r="N564" s="27">
        <v>95</v>
      </c>
      <c r="O564" s="34">
        <f>((N564-80)*M564)*0.5</f>
        <v>165.39473684210526</v>
      </c>
      <c r="P564" s="35">
        <f t="shared" si="74"/>
        <v>9.92</v>
      </c>
      <c r="Q564" s="34">
        <f t="shared" si="83"/>
        <v>248.09210526315789</v>
      </c>
      <c r="R564" s="35"/>
    </row>
    <row r="565" spans="1:18" x14ac:dyDescent="0.3">
      <c r="A565" s="32">
        <v>43889</v>
      </c>
      <c r="B565" s="33" t="s">
        <v>48</v>
      </c>
      <c r="C565" s="34">
        <v>2071</v>
      </c>
      <c r="D565" s="33">
        <v>80</v>
      </c>
      <c r="E565" s="33"/>
      <c r="F565" s="33">
        <v>2121</v>
      </c>
      <c r="G565" s="34">
        <v>268.39999999999998</v>
      </c>
      <c r="H565" s="34">
        <v>50</v>
      </c>
      <c r="I565" s="34">
        <v>2389.4</v>
      </c>
      <c r="J565" s="34">
        <v>309.45999999999998</v>
      </c>
      <c r="K565" s="34">
        <v>2698.86</v>
      </c>
      <c r="L565" s="33" t="s">
        <v>14</v>
      </c>
      <c r="M565" s="34">
        <f t="shared" si="82"/>
        <v>21</v>
      </c>
      <c r="N565" s="27">
        <v>101</v>
      </c>
      <c r="O565" s="34">
        <f>((N565-80)*M565)*0.5</f>
        <v>220.5</v>
      </c>
      <c r="P565" s="35">
        <f t="shared" si="74"/>
        <v>13.23</v>
      </c>
      <c r="Q565" s="34">
        <f t="shared" si="83"/>
        <v>330.75</v>
      </c>
      <c r="R565" s="35"/>
    </row>
    <row r="566" spans="1:18" x14ac:dyDescent="0.3">
      <c r="A566" s="32">
        <v>43903</v>
      </c>
      <c r="B566" s="33" t="s">
        <v>48</v>
      </c>
      <c r="C566" s="34">
        <v>1934</v>
      </c>
      <c r="D566" s="33">
        <v>45</v>
      </c>
      <c r="E566" s="33">
        <v>2000</v>
      </c>
      <c r="F566" s="33">
        <v>1984</v>
      </c>
      <c r="G566" s="34">
        <v>243.87</v>
      </c>
      <c r="H566" s="34">
        <v>50</v>
      </c>
      <c r="I566" s="34">
        <v>2227.87</v>
      </c>
      <c r="J566" s="34">
        <v>296.74</v>
      </c>
      <c r="K566" s="34">
        <v>2524.61</v>
      </c>
      <c r="L566" s="33" t="s">
        <v>14</v>
      </c>
      <c r="M566" s="34">
        <f t="shared" si="82"/>
        <v>42.158730158730158</v>
      </c>
      <c r="N566" s="27">
        <v>94.5</v>
      </c>
      <c r="O566" s="34">
        <f>((N566-80)*M566)*0.5</f>
        <v>305.65079365079367</v>
      </c>
      <c r="P566" s="35">
        <f t="shared" si="74"/>
        <v>15.28</v>
      </c>
      <c r="Q566" s="34">
        <f t="shared" si="83"/>
        <v>458.47619047619048</v>
      </c>
      <c r="R566" s="35"/>
    </row>
    <row r="567" spans="1:18" x14ac:dyDescent="0.3">
      <c r="A567" s="32">
        <v>43917</v>
      </c>
      <c r="B567" s="33" t="s">
        <v>48</v>
      </c>
      <c r="C567" s="34">
        <v>1839.73</v>
      </c>
      <c r="D567" s="36">
        <v>45</v>
      </c>
      <c r="E567" s="33"/>
      <c r="F567" s="36">
        <v>2150</v>
      </c>
      <c r="G567" s="34">
        <v>275.27</v>
      </c>
      <c r="H567" s="34">
        <v>35</v>
      </c>
      <c r="I567" s="34">
        <v>2150</v>
      </c>
      <c r="J567" s="34">
        <v>317.77</v>
      </c>
      <c r="K567" s="34">
        <v>2467.77</v>
      </c>
      <c r="L567" s="33" t="s">
        <v>14</v>
      </c>
      <c r="M567" s="34">
        <f t="shared" si="82"/>
        <v>25.595238095238095</v>
      </c>
      <c r="N567" s="27">
        <v>84</v>
      </c>
      <c r="O567" s="38">
        <f>(M567*0.5)*5</f>
        <v>63.988095238095241</v>
      </c>
      <c r="P567" s="35">
        <f t="shared" si="74"/>
        <v>3.2</v>
      </c>
      <c r="Q567" s="34">
        <f t="shared" si="83"/>
        <v>95.982142857142861</v>
      </c>
      <c r="R567" s="35"/>
    </row>
    <row r="568" spans="1:18" x14ac:dyDescent="0.3">
      <c r="A568" s="32">
        <v>43931</v>
      </c>
      <c r="B568" s="33" t="s">
        <v>48</v>
      </c>
      <c r="C568" s="34">
        <v>904.13</v>
      </c>
      <c r="D568" s="36">
        <v>24</v>
      </c>
      <c r="E568" s="33"/>
      <c r="F568" s="33">
        <v>1000</v>
      </c>
      <c r="G568" s="34">
        <v>95.87</v>
      </c>
      <c r="H568" s="34">
        <v>0</v>
      </c>
      <c r="I568" s="34">
        <v>1000</v>
      </c>
      <c r="J568" s="34">
        <v>149.11000000000001</v>
      </c>
      <c r="K568" s="34">
        <v>1149.1099999999999</v>
      </c>
      <c r="L568" s="33" t="s">
        <v>14</v>
      </c>
      <c r="M568" s="34">
        <f t="shared" si="82"/>
        <v>41.666666666666664</v>
      </c>
      <c r="N568" s="27">
        <v>24</v>
      </c>
      <c r="O568" s="34">
        <v>0</v>
      </c>
      <c r="P568" s="35">
        <f t="shared" si="74"/>
        <v>0</v>
      </c>
      <c r="Q568" s="34">
        <f t="shared" si="83"/>
        <v>0</v>
      </c>
      <c r="R568" s="35"/>
    </row>
    <row r="569" spans="1:18" x14ac:dyDescent="0.3">
      <c r="A569" s="37" t="s">
        <v>77</v>
      </c>
      <c r="B569" s="33" t="s">
        <v>48</v>
      </c>
      <c r="C569" s="34">
        <v>500.22</v>
      </c>
      <c r="D569" s="36">
        <v>22.13</v>
      </c>
      <c r="E569" s="33"/>
      <c r="F569" s="33">
        <v>553.25</v>
      </c>
      <c r="G569" s="34">
        <v>53.03</v>
      </c>
      <c r="H569" s="34">
        <v>0</v>
      </c>
      <c r="I569" s="34">
        <v>553.25</v>
      </c>
      <c r="J569" s="34">
        <v>83.45</v>
      </c>
      <c r="K569" s="34">
        <v>636.70000000000005</v>
      </c>
      <c r="L569" s="33" t="s">
        <v>14</v>
      </c>
      <c r="M569" s="34" t="e">
        <f t="shared" si="82"/>
        <v>#DIV/0!</v>
      </c>
      <c r="N569" s="27"/>
      <c r="O569" s="34" t="e">
        <f>((N569-80)*M569)*0.5</f>
        <v>#DIV/0!</v>
      </c>
      <c r="P569" s="35" t="e">
        <f t="shared" si="74"/>
        <v>#VALUE!</v>
      </c>
      <c r="Q569" s="34" t="e">
        <f t="shared" si="83"/>
        <v>#DIV/0!</v>
      </c>
      <c r="R569" s="35"/>
    </row>
    <row r="570" spans="1:18" x14ac:dyDescent="0.3">
      <c r="A570" s="37" t="s">
        <v>77</v>
      </c>
      <c r="B570" s="33" t="s">
        <v>48</v>
      </c>
      <c r="C570" s="34">
        <v>700.05</v>
      </c>
      <c r="D570" s="36">
        <v>30.97</v>
      </c>
      <c r="E570" s="33"/>
      <c r="F570" s="33">
        <v>774.28</v>
      </c>
      <c r="G570" s="34">
        <v>74.23</v>
      </c>
      <c r="H570" s="34">
        <v>0</v>
      </c>
      <c r="I570" s="34">
        <v>774.28</v>
      </c>
      <c r="J570" s="34">
        <v>116.8</v>
      </c>
      <c r="K570" s="34">
        <v>891.08</v>
      </c>
      <c r="L570" s="33" t="s">
        <v>14</v>
      </c>
      <c r="M570" s="34" t="e">
        <f t="shared" si="82"/>
        <v>#DIV/0!</v>
      </c>
      <c r="N570" s="27"/>
      <c r="O570" s="34" t="e">
        <f>((N570-80)*M570)*0.5</f>
        <v>#DIV/0!</v>
      </c>
      <c r="P570" s="35" t="e">
        <f t="shared" si="74"/>
        <v>#VALUE!</v>
      </c>
      <c r="Q570" s="34" t="e">
        <f t="shared" si="83"/>
        <v>#DIV/0!</v>
      </c>
      <c r="R570" s="35"/>
    </row>
    <row r="571" spans="1:18" x14ac:dyDescent="0.3">
      <c r="A571" s="32">
        <v>43973</v>
      </c>
      <c r="B571" s="33" t="s">
        <v>48</v>
      </c>
      <c r="C571" s="34">
        <v>904.13</v>
      </c>
      <c r="D571" s="36">
        <v>40</v>
      </c>
      <c r="E571" s="33"/>
      <c r="F571" s="33">
        <v>1000</v>
      </c>
      <c r="G571" s="34">
        <v>95.87</v>
      </c>
      <c r="H571" s="34">
        <v>0</v>
      </c>
      <c r="I571" s="34">
        <v>1000</v>
      </c>
      <c r="J571" s="34">
        <v>150.84</v>
      </c>
      <c r="K571" s="34">
        <v>1150.8399999999999</v>
      </c>
      <c r="L571" s="33" t="s">
        <v>14</v>
      </c>
      <c r="M571" s="34">
        <f t="shared" si="82"/>
        <v>25</v>
      </c>
      <c r="N571" s="27">
        <v>40</v>
      </c>
      <c r="O571" s="34">
        <v>0</v>
      </c>
      <c r="P571" s="35">
        <f t="shared" si="74"/>
        <v>0</v>
      </c>
      <c r="Q571" s="34">
        <f t="shared" si="83"/>
        <v>0</v>
      </c>
      <c r="R571" s="35"/>
    </row>
    <row r="572" spans="1:18" x14ac:dyDescent="0.3">
      <c r="A572" s="32">
        <v>43987</v>
      </c>
      <c r="B572" s="33" t="s">
        <v>48</v>
      </c>
      <c r="C572" s="34">
        <v>1592.45</v>
      </c>
      <c r="D572" s="36">
        <v>40.5</v>
      </c>
      <c r="E572" s="33"/>
      <c r="F572" s="33">
        <v>1800</v>
      </c>
      <c r="G572" s="34">
        <v>207.55</v>
      </c>
      <c r="H572" s="34">
        <v>0</v>
      </c>
      <c r="I572" s="34">
        <v>1800</v>
      </c>
      <c r="J572" s="34">
        <v>271.52</v>
      </c>
      <c r="K572" s="34">
        <v>2071.52</v>
      </c>
      <c r="L572" s="33" t="s">
        <v>14</v>
      </c>
      <c r="M572" s="34">
        <f t="shared" si="82"/>
        <v>24.827586206896552</v>
      </c>
      <c r="N572" s="27">
        <v>72.5</v>
      </c>
      <c r="O572" s="38">
        <f>(M572*0.5)*0.5</f>
        <v>6.2068965517241379</v>
      </c>
      <c r="P572" s="35">
        <f t="shared" si="74"/>
        <v>0.12</v>
      </c>
      <c r="Q572" s="34">
        <f t="shared" si="83"/>
        <v>9.3103448275862064</v>
      </c>
      <c r="R572" s="35"/>
    </row>
    <row r="573" spans="1:18" x14ac:dyDescent="0.3">
      <c r="A573" s="32">
        <v>43995</v>
      </c>
      <c r="B573" s="33" t="s">
        <v>48</v>
      </c>
      <c r="C573" s="34"/>
      <c r="D573" s="31">
        <v>80</v>
      </c>
      <c r="E573" s="33"/>
      <c r="F573" s="33"/>
      <c r="G573" s="34"/>
      <c r="H573" s="34"/>
      <c r="I573" s="34"/>
      <c r="J573" s="34"/>
      <c r="K573" s="34"/>
      <c r="L573" s="33"/>
      <c r="M573" s="34"/>
      <c r="N573" s="27"/>
      <c r="O573" s="34"/>
      <c r="P573" s="35">
        <f t="shared" si="74"/>
        <v>0</v>
      </c>
      <c r="Q573" s="34"/>
      <c r="R573" s="35"/>
    </row>
    <row r="574" spans="1:18" x14ac:dyDescent="0.3">
      <c r="A574" s="32">
        <v>44009</v>
      </c>
      <c r="B574" s="33" t="s">
        <v>48</v>
      </c>
      <c r="C574" s="34"/>
      <c r="D574" s="31">
        <v>94.5</v>
      </c>
      <c r="E574" s="33"/>
      <c r="F574" s="33"/>
      <c r="G574" s="34"/>
      <c r="H574" s="34"/>
      <c r="I574" s="34"/>
      <c r="J574" s="34"/>
      <c r="K574" s="34"/>
      <c r="L574" s="33"/>
      <c r="M574" s="34"/>
      <c r="N574" s="27"/>
      <c r="O574" s="34"/>
      <c r="P574" s="35">
        <f t="shared" si="74"/>
        <v>0</v>
      </c>
      <c r="Q574" s="34"/>
      <c r="R574" s="35"/>
    </row>
    <row r="575" spans="1:18" x14ac:dyDescent="0.3">
      <c r="A575" s="32">
        <v>44023</v>
      </c>
      <c r="B575" s="33" t="s">
        <v>48</v>
      </c>
      <c r="C575" s="34"/>
      <c r="D575" s="31">
        <v>106.5</v>
      </c>
      <c r="E575" s="33"/>
      <c r="F575" s="33"/>
      <c r="G575" s="34"/>
      <c r="H575" s="34"/>
      <c r="I575" s="34"/>
      <c r="J575" s="34"/>
      <c r="K575" s="34"/>
      <c r="L575" s="33"/>
      <c r="M575" s="34"/>
      <c r="N575" s="27"/>
      <c r="O575" s="34"/>
      <c r="P575" s="35">
        <f t="shared" si="74"/>
        <v>0</v>
      </c>
      <c r="Q575" s="34"/>
      <c r="R575" s="35"/>
    </row>
    <row r="576" spans="1:18" x14ac:dyDescent="0.3">
      <c r="A576" s="37" t="s">
        <v>77</v>
      </c>
      <c r="B576" s="33" t="s">
        <v>49</v>
      </c>
      <c r="C576" s="34">
        <v>1354</v>
      </c>
      <c r="D576" s="33">
        <v>80</v>
      </c>
      <c r="E576" s="33"/>
      <c r="F576" s="33">
        <v>1404</v>
      </c>
      <c r="G576" s="34">
        <v>248.28</v>
      </c>
      <c r="H576" s="34">
        <v>50</v>
      </c>
      <c r="I576" s="34">
        <v>1652.28</v>
      </c>
      <c r="J576" s="34">
        <v>251.27</v>
      </c>
      <c r="K576" s="34">
        <v>1903.55</v>
      </c>
      <c r="L576" s="33" t="s">
        <v>14</v>
      </c>
      <c r="M576" s="34" t="e">
        <f t="shared" ref="M576:M584" si="84">(E576+F576)/N576</f>
        <v>#DIV/0!</v>
      </c>
      <c r="N576" s="27"/>
      <c r="O576" s="34" t="e">
        <f>((N576-80)*M576)*0.5</f>
        <v>#DIV/0!</v>
      </c>
      <c r="P576" s="35" t="e">
        <f t="shared" si="74"/>
        <v>#VALUE!</v>
      </c>
      <c r="Q576" s="34" t="e">
        <f t="shared" ref="Q576:Q584" si="85">O576*1.5</f>
        <v>#DIV/0!</v>
      </c>
      <c r="R576" s="35">
        <v>409.55</v>
      </c>
    </row>
    <row r="577" spans="1:18" x14ac:dyDescent="0.3">
      <c r="A577" s="32">
        <v>43889</v>
      </c>
      <c r="B577" s="33" t="s">
        <v>49</v>
      </c>
      <c r="C577" s="34">
        <v>1795</v>
      </c>
      <c r="D577" s="36">
        <v>53</v>
      </c>
      <c r="E577" s="33"/>
      <c r="F577" s="33">
        <v>1845</v>
      </c>
      <c r="G577" s="34">
        <v>336.05</v>
      </c>
      <c r="H577" s="34">
        <v>50</v>
      </c>
      <c r="I577" s="34">
        <v>2181.0500000000002</v>
      </c>
      <c r="J577" s="34">
        <v>294.89</v>
      </c>
      <c r="K577" s="34">
        <v>2475.94</v>
      </c>
      <c r="L577" s="33" t="s">
        <v>14</v>
      </c>
      <c r="M577" s="34">
        <f t="shared" si="84"/>
        <v>34.811320754716981</v>
      </c>
      <c r="N577" s="27">
        <v>53</v>
      </c>
      <c r="O577" s="38">
        <f>(M577*0.5)*13</f>
        <v>226.27358490566039</v>
      </c>
      <c r="P577" s="35">
        <f t="shared" ref="P577:P640" si="86">ROUND(((ROUNDDOWN(($T$1-A577)/30,0))/100)*O577,2)</f>
        <v>13.58</v>
      </c>
      <c r="Q577" s="34">
        <f t="shared" si="85"/>
        <v>339.41037735849056</v>
      </c>
      <c r="R577" s="35"/>
    </row>
    <row r="578" spans="1:18" x14ac:dyDescent="0.3">
      <c r="A578" s="37" t="s">
        <v>77</v>
      </c>
      <c r="B578" s="33" t="s">
        <v>49</v>
      </c>
      <c r="C578" s="34">
        <v>1606</v>
      </c>
      <c r="D578" s="33">
        <v>80</v>
      </c>
      <c r="E578" s="33"/>
      <c r="F578" s="33">
        <v>1656</v>
      </c>
      <c r="G578" s="34">
        <v>298.43</v>
      </c>
      <c r="H578" s="34">
        <v>50</v>
      </c>
      <c r="I578" s="34">
        <v>1954.43</v>
      </c>
      <c r="J578" s="34">
        <v>276.2</v>
      </c>
      <c r="K578" s="34">
        <v>2230.63</v>
      </c>
      <c r="L578" s="33" t="s">
        <v>14</v>
      </c>
      <c r="M578" s="34" t="e">
        <f t="shared" si="84"/>
        <v>#DIV/0!</v>
      </c>
      <c r="N578" s="27"/>
      <c r="O578" s="34" t="e">
        <f t="shared" ref="O578:O584" si="87">((N578-80)*M578)*0.5</f>
        <v>#DIV/0!</v>
      </c>
      <c r="P578" s="35" t="e">
        <f t="shared" si="86"/>
        <v>#VALUE!</v>
      </c>
      <c r="Q578" s="34" t="e">
        <f t="shared" si="85"/>
        <v>#DIV/0!</v>
      </c>
      <c r="R578" s="35"/>
    </row>
    <row r="579" spans="1:18" x14ac:dyDescent="0.3">
      <c r="A579" s="37" t="s">
        <v>77</v>
      </c>
      <c r="B579" s="33" t="s">
        <v>49</v>
      </c>
      <c r="C579" s="34">
        <v>1453.68</v>
      </c>
      <c r="D579" s="33">
        <v>84.5</v>
      </c>
      <c r="E579" s="33"/>
      <c r="F579" s="36">
        <v>1778.38</v>
      </c>
      <c r="G579" s="34">
        <v>324.7</v>
      </c>
      <c r="H579" s="34">
        <v>0</v>
      </c>
      <c r="I579" s="34">
        <v>1778.38</v>
      </c>
      <c r="J579" s="34">
        <v>294.63</v>
      </c>
      <c r="K579" s="34">
        <v>2073.0100000000002</v>
      </c>
      <c r="L579" s="33" t="s">
        <v>14</v>
      </c>
      <c r="M579" s="34" t="e">
        <f t="shared" si="84"/>
        <v>#DIV/0!</v>
      </c>
      <c r="N579" s="27"/>
      <c r="O579" s="34" t="e">
        <f t="shared" si="87"/>
        <v>#DIV/0!</v>
      </c>
      <c r="P579" s="35" t="e">
        <f t="shared" si="86"/>
        <v>#VALUE!</v>
      </c>
      <c r="Q579" s="34" t="e">
        <f t="shared" si="85"/>
        <v>#DIV/0!</v>
      </c>
      <c r="R579" s="35"/>
    </row>
    <row r="580" spans="1:18" x14ac:dyDescent="0.3">
      <c r="A580" s="37" t="s">
        <v>77</v>
      </c>
      <c r="B580" s="33" t="s">
        <v>49</v>
      </c>
      <c r="C580" s="34">
        <v>704.05</v>
      </c>
      <c r="D580" s="33">
        <v>40</v>
      </c>
      <c r="E580" s="33"/>
      <c r="F580" s="33">
        <v>820</v>
      </c>
      <c r="G580" s="34">
        <v>115.95</v>
      </c>
      <c r="H580" s="34">
        <v>0</v>
      </c>
      <c r="I580" s="34">
        <v>820</v>
      </c>
      <c r="J580" s="34">
        <v>134.28</v>
      </c>
      <c r="K580" s="34">
        <v>954.28</v>
      </c>
      <c r="L580" s="33" t="s">
        <v>14</v>
      </c>
      <c r="M580" s="34" t="e">
        <f t="shared" si="84"/>
        <v>#DIV/0!</v>
      </c>
      <c r="N580" s="27"/>
      <c r="O580" s="34" t="e">
        <f t="shared" si="87"/>
        <v>#DIV/0!</v>
      </c>
      <c r="P580" s="35" t="e">
        <f t="shared" si="86"/>
        <v>#VALUE!</v>
      </c>
      <c r="Q580" s="34" t="e">
        <f t="shared" si="85"/>
        <v>#DIV/0!</v>
      </c>
      <c r="R580" s="35"/>
    </row>
    <row r="581" spans="1:18" x14ac:dyDescent="0.3">
      <c r="A581" s="37" t="s">
        <v>77</v>
      </c>
      <c r="B581" s="33" t="s">
        <v>49</v>
      </c>
      <c r="C581" s="34">
        <v>500.1</v>
      </c>
      <c r="D581" s="33">
        <v>27.57</v>
      </c>
      <c r="E581" s="33"/>
      <c r="F581" s="33">
        <v>565.19000000000005</v>
      </c>
      <c r="G581" s="34">
        <v>65.09</v>
      </c>
      <c r="H581" s="34">
        <v>0</v>
      </c>
      <c r="I581" s="34">
        <v>565.19000000000005</v>
      </c>
      <c r="J581" s="34">
        <v>94.32</v>
      </c>
      <c r="K581" s="34">
        <v>659.51</v>
      </c>
      <c r="L581" s="33" t="s">
        <v>14</v>
      </c>
      <c r="M581" s="34" t="e">
        <f t="shared" si="84"/>
        <v>#DIV/0!</v>
      </c>
      <c r="N581" s="27"/>
      <c r="O581" s="34" t="e">
        <f t="shared" si="87"/>
        <v>#DIV/0!</v>
      </c>
      <c r="P581" s="35" t="e">
        <f t="shared" si="86"/>
        <v>#VALUE!</v>
      </c>
      <c r="Q581" s="34" t="e">
        <f t="shared" si="85"/>
        <v>#DIV/0!</v>
      </c>
      <c r="R581" s="35"/>
    </row>
    <row r="582" spans="1:18" x14ac:dyDescent="0.3">
      <c r="A582" s="37" t="s">
        <v>77</v>
      </c>
      <c r="B582" s="33" t="s">
        <v>49</v>
      </c>
      <c r="C582" s="34">
        <v>700</v>
      </c>
      <c r="D582" s="33">
        <v>39.75</v>
      </c>
      <c r="E582" s="33"/>
      <c r="F582" s="33">
        <v>814.94</v>
      </c>
      <c r="G582" s="34">
        <v>114.94</v>
      </c>
      <c r="H582" s="34">
        <v>0</v>
      </c>
      <c r="I582" s="34">
        <v>814.94</v>
      </c>
      <c r="J582" s="34">
        <v>135.99</v>
      </c>
      <c r="K582" s="34">
        <v>950.93</v>
      </c>
      <c r="L582" s="33" t="s">
        <v>14</v>
      </c>
      <c r="M582" s="34" t="e">
        <f t="shared" si="84"/>
        <v>#DIV/0!</v>
      </c>
      <c r="N582" s="27"/>
      <c r="O582" s="34" t="e">
        <f t="shared" si="87"/>
        <v>#DIV/0!</v>
      </c>
      <c r="P582" s="35" t="e">
        <f t="shared" si="86"/>
        <v>#VALUE!</v>
      </c>
      <c r="Q582" s="34" t="e">
        <f t="shared" si="85"/>
        <v>#DIV/0!</v>
      </c>
      <c r="R582" s="35"/>
    </row>
    <row r="583" spans="1:18" x14ac:dyDescent="0.3">
      <c r="A583" s="37" t="s">
        <v>77</v>
      </c>
      <c r="B583" s="33" t="s">
        <v>49</v>
      </c>
      <c r="C583" s="34">
        <v>1344.75</v>
      </c>
      <c r="D583" s="33">
        <v>80</v>
      </c>
      <c r="E583" s="33"/>
      <c r="F583" s="33">
        <v>1640</v>
      </c>
      <c r="G583" s="34">
        <v>295.25</v>
      </c>
      <c r="H583" s="34">
        <v>0</v>
      </c>
      <c r="I583" s="34">
        <v>1640</v>
      </c>
      <c r="J583" s="34">
        <v>273.68</v>
      </c>
      <c r="K583" s="34">
        <v>1913.68</v>
      </c>
      <c r="L583" s="33" t="s">
        <v>14</v>
      </c>
      <c r="M583" s="34" t="e">
        <f t="shared" si="84"/>
        <v>#DIV/0!</v>
      </c>
      <c r="N583" s="27"/>
      <c r="O583" s="34" t="e">
        <f t="shared" si="87"/>
        <v>#DIV/0!</v>
      </c>
      <c r="P583" s="35" t="e">
        <f t="shared" si="86"/>
        <v>#VALUE!</v>
      </c>
      <c r="Q583" s="34" t="e">
        <f t="shared" si="85"/>
        <v>#DIV/0!</v>
      </c>
      <c r="R583" s="35"/>
    </row>
    <row r="584" spans="1:18" x14ac:dyDescent="0.3">
      <c r="A584" s="37" t="s">
        <v>77</v>
      </c>
      <c r="B584" s="33" t="s">
        <v>49</v>
      </c>
      <c r="C584" s="34">
        <v>1878.33</v>
      </c>
      <c r="D584" s="33">
        <v>96.5</v>
      </c>
      <c r="E584" s="33"/>
      <c r="F584" s="36">
        <v>2356.88</v>
      </c>
      <c r="G584" s="34">
        <v>478.55</v>
      </c>
      <c r="H584" s="34">
        <v>0</v>
      </c>
      <c r="I584" s="34">
        <v>2356.88</v>
      </c>
      <c r="J584" s="34">
        <v>359.59</v>
      </c>
      <c r="K584" s="34">
        <v>2716.47</v>
      </c>
      <c r="L584" s="33" t="s">
        <v>14</v>
      </c>
      <c r="M584" s="34" t="e">
        <f t="shared" si="84"/>
        <v>#DIV/0!</v>
      </c>
      <c r="N584" s="27"/>
      <c r="O584" s="34" t="e">
        <f t="shared" si="87"/>
        <v>#DIV/0!</v>
      </c>
      <c r="P584" s="35" t="e">
        <f t="shared" si="86"/>
        <v>#VALUE!</v>
      </c>
      <c r="Q584" s="34" t="e">
        <f t="shared" si="85"/>
        <v>#DIV/0!</v>
      </c>
      <c r="R584" s="35"/>
    </row>
    <row r="585" spans="1:18" x14ac:dyDescent="0.3">
      <c r="A585" s="32">
        <v>44009</v>
      </c>
      <c r="B585" s="33" t="s">
        <v>49</v>
      </c>
      <c r="C585" s="34"/>
      <c r="D585" s="31">
        <v>97.5</v>
      </c>
      <c r="E585" s="33"/>
      <c r="F585" s="33"/>
      <c r="G585" s="34"/>
      <c r="H585" s="34"/>
      <c r="I585" s="34"/>
      <c r="J585" s="34"/>
      <c r="K585" s="34"/>
      <c r="L585" s="33"/>
      <c r="M585" s="34"/>
      <c r="N585" s="27"/>
      <c r="O585" s="34"/>
      <c r="P585" s="35">
        <f t="shared" si="86"/>
        <v>0</v>
      </c>
      <c r="Q585" s="34"/>
      <c r="R585" s="35"/>
    </row>
    <row r="586" spans="1:18" x14ac:dyDescent="0.3">
      <c r="A586" s="32">
        <v>43511</v>
      </c>
      <c r="B586" s="33" t="s">
        <v>50</v>
      </c>
      <c r="C586" s="34">
        <v>1591</v>
      </c>
      <c r="D586" s="33">
        <v>80</v>
      </c>
      <c r="E586" s="33">
        <v>199.83</v>
      </c>
      <c r="F586" s="33">
        <v>1791</v>
      </c>
      <c r="G586" s="34">
        <v>199.83</v>
      </c>
      <c r="H586" s="34">
        <v>200</v>
      </c>
      <c r="I586" s="34">
        <v>1990.83</v>
      </c>
      <c r="J586" s="34">
        <v>360.82</v>
      </c>
      <c r="K586" s="34">
        <v>2351.65</v>
      </c>
      <c r="L586" s="33">
        <v>100150</v>
      </c>
      <c r="M586" s="34">
        <f t="shared" ref="M586:M620" si="88">(E586+F586)/N586</f>
        <v>20.008341708542712</v>
      </c>
      <c r="N586" s="27">
        <v>99.5</v>
      </c>
      <c r="O586" s="34">
        <f t="shared" ref="O586:O596" si="89">((N586-80)*M586)*0.5</f>
        <v>195.08133165829145</v>
      </c>
      <c r="P586" s="35">
        <f t="shared" si="86"/>
        <v>35.11</v>
      </c>
      <c r="Q586" s="34">
        <f t="shared" ref="Q586:Q620" si="90">O586*1.5</f>
        <v>292.62199748743717</v>
      </c>
      <c r="R586" s="35">
        <v>409.55</v>
      </c>
    </row>
    <row r="587" spans="1:18" x14ac:dyDescent="0.3">
      <c r="A587" s="32">
        <v>43525</v>
      </c>
      <c r="B587" s="33" t="s">
        <v>50</v>
      </c>
      <c r="C587" s="34">
        <v>1140</v>
      </c>
      <c r="D587" s="33">
        <v>80</v>
      </c>
      <c r="E587" s="33">
        <v>185.15</v>
      </c>
      <c r="F587" s="33">
        <v>1620</v>
      </c>
      <c r="G587" s="34">
        <v>185.15</v>
      </c>
      <c r="H587" s="34">
        <v>480</v>
      </c>
      <c r="I587" s="34">
        <v>1805.15</v>
      </c>
      <c r="J587" s="34">
        <v>342.14</v>
      </c>
      <c r="K587" s="34">
        <v>2147.29</v>
      </c>
      <c r="L587" s="33">
        <v>100160</v>
      </c>
      <c r="M587" s="34">
        <f t="shared" si="88"/>
        <v>20.057222222222222</v>
      </c>
      <c r="N587" s="27">
        <v>90</v>
      </c>
      <c r="O587" s="34">
        <f t="shared" si="89"/>
        <v>100.28611111111111</v>
      </c>
      <c r="P587" s="35">
        <f t="shared" si="86"/>
        <v>18.05</v>
      </c>
      <c r="Q587" s="34">
        <f t="shared" si="90"/>
        <v>150.42916666666667</v>
      </c>
      <c r="R587" s="35"/>
    </row>
    <row r="588" spans="1:18" x14ac:dyDescent="0.3">
      <c r="A588" s="32">
        <v>43539</v>
      </c>
      <c r="B588" s="33" t="s">
        <v>50</v>
      </c>
      <c r="C588" s="34">
        <v>1018</v>
      </c>
      <c r="D588" s="33">
        <v>80</v>
      </c>
      <c r="E588" s="33">
        <v>287.83</v>
      </c>
      <c r="F588" s="33">
        <v>1683</v>
      </c>
      <c r="G588" s="34">
        <v>287.83</v>
      </c>
      <c r="H588" s="34">
        <v>665</v>
      </c>
      <c r="I588" s="34">
        <v>1970.83</v>
      </c>
      <c r="J588" s="34">
        <v>358.8</v>
      </c>
      <c r="K588" s="34">
        <v>2329.63</v>
      </c>
      <c r="L588" s="33" t="s">
        <v>14</v>
      </c>
      <c r="M588" s="34">
        <f t="shared" si="88"/>
        <v>21.078395721925133</v>
      </c>
      <c r="N588" s="27">
        <v>93.5</v>
      </c>
      <c r="O588" s="34">
        <f t="shared" si="89"/>
        <v>142.27917112299465</v>
      </c>
      <c r="P588" s="35">
        <f t="shared" si="86"/>
        <v>24.19</v>
      </c>
      <c r="Q588" s="34">
        <f t="shared" si="90"/>
        <v>213.418756684492</v>
      </c>
      <c r="R588" s="35"/>
    </row>
    <row r="589" spans="1:18" x14ac:dyDescent="0.3">
      <c r="A589" s="32">
        <v>43553</v>
      </c>
      <c r="B589" s="33" t="s">
        <v>50</v>
      </c>
      <c r="C589" s="34">
        <v>1198</v>
      </c>
      <c r="D589" s="33">
        <v>80</v>
      </c>
      <c r="E589" s="33">
        <v>276.64</v>
      </c>
      <c r="F589" s="33">
        <v>1638</v>
      </c>
      <c r="G589" s="34">
        <v>276.64</v>
      </c>
      <c r="H589" s="34">
        <v>440</v>
      </c>
      <c r="I589" s="34">
        <v>1914.64</v>
      </c>
      <c r="J589" s="34">
        <v>349.06</v>
      </c>
      <c r="K589" s="34">
        <v>2263.6999999999998</v>
      </c>
      <c r="L589" s="33" t="s">
        <v>14</v>
      </c>
      <c r="M589" s="34">
        <f t="shared" si="88"/>
        <v>21.04</v>
      </c>
      <c r="N589" s="27">
        <v>91</v>
      </c>
      <c r="O589" s="34">
        <f t="shared" si="89"/>
        <v>115.72</v>
      </c>
      <c r="P589" s="35">
        <f t="shared" si="86"/>
        <v>19.670000000000002</v>
      </c>
      <c r="Q589" s="34">
        <f t="shared" si="90"/>
        <v>173.57999999999998</v>
      </c>
      <c r="R589" s="35"/>
    </row>
    <row r="590" spans="1:18" x14ac:dyDescent="0.3">
      <c r="A590" s="32">
        <v>43567</v>
      </c>
      <c r="B590" s="33" t="s">
        <v>50</v>
      </c>
      <c r="C590" s="34">
        <v>1053</v>
      </c>
      <c r="D590" s="33">
        <v>80</v>
      </c>
      <c r="E590" s="33">
        <v>265.47000000000003</v>
      </c>
      <c r="F590" s="33">
        <v>1593</v>
      </c>
      <c r="G590" s="34">
        <v>265.47000000000003</v>
      </c>
      <c r="H590" s="34">
        <v>540</v>
      </c>
      <c r="I590" s="34">
        <v>1858.47</v>
      </c>
      <c r="J590" s="34">
        <v>336.36</v>
      </c>
      <c r="K590" s="34">
        <v>2194.83</v>
      </c>
      <c r="L590" s="33" t="s">
        <v>14</v>
      </c>
      <c r="M590" s="34">
        <f t="shared" si="88"/>
        <v>20.999661016949151</v>
      </c>
      <c r="N590" s="27">
        <v>88.5</v>
      </c>
      <c r="O590" s="34">
        <f t="shared" si="89"/>
        <v>89.248559322033898</v>
      </c>
      <c r="P590" s="35">
        <f t="shared" si="86"/>
        <v>14.28</v>
      </c>
      <c r="Q590" s="34">
        <f t="shared" si="90"/>
        <v>133.87283898305085</v>
      </c>
      <c r="R590" s="35"/>
    </row>
    <row r="591" spans="1:18" x14ac:dyDescent="0.3">
      <c r="A591" s="32">
        <v>43581</v>
      </c>
      <c r="B591" s="33" t="s">
        <v>50</v>
      </c>
      <c r="C591" s="34">
        <v>1134</v>
      </c>
      <c r="D591" s="33">
        <v>80</v>
      </c>
      <c r="E591" s="33">
        <v>263.2</v>
      </c>
      <c r="F591" s="33">
        <v>1584</v>
      </c>
      <c r="G591" s="34">
        <v>263.2</v>
      </c>
      <c r="H591" s="34">
        <v>450</v>
      </c>
      <c r="I591" s="34">
        <v>1847.2</v>
      </c>
      <c r="J591" s="34">
        <v>332.13</v>
      </c>
      <c r="K591" s="34">
        <v>2179.33</v>
      </c>
      <c r="L591" s="33" t="s">
        <v>14</v>
      </c>
      <c r="M591" s="34">
        <f t="shared" si="88"/>
        <v>20.990909090909092</v>
      </c>
      <c r="N591" s="27">
        <v>88</v>
      </c>
      <c r="O591" s="34">
        <f t="shared" si="89"/>
        <v>83.963636363636368</v>
      </c>
      <c r="P591" s="35">
        <f t="shared" si="86"/>
        <v>13.43</v>
      </c>
      <c r="Q591" s="34">
        <f t="shared" si="90"/>
        <v>125.94545454545455</v>
      </c>
      <c r="R591" s="35"/>
    </row>
    <row r="592" spans="1:18" x14ac:dyDescent="0.3">
      <c r="A592" s="32">
        <v>43595</v>
      </c>
      <c r="B592" s="33" t="s">
        <v>50</v>
      </c>
      <c r="C592" s="34">
        <v>1880</v>
      </c>
      <c r="D592" s="33">
        <v>80</v>
      </c>
      <c r="E592" s="33">
        <v>336.78</v>
      </c>
      <c r="F592" s="33">
        <v>1880</v>
      </c>
      <c r="G592" s="34">
        <v>336.78</v>
      </c>
      <c r="H592" s="34">
        <v>0</v>
      </c>
      <c r="I592" s="34">
        <v>2216.7800000000002</v>
      </c>
      <c r="J592" s="34">
        <v>366.48</v>
      </c>
      <c r="K592" s="34">
        <v>2583.2600000000002</v>
      </c>
      <c r="L592" s="33" t="s">
        <v>14</v>
      </c>
      <c r="M592" s="34">
        <f t="shared" si="88"/>
        <v>23.582765957446806</v>
      </c>
      <c r="N592" s="27">
        <v>94</v>
      </c>
      <c r="O592" s="34">
        <f t="shared" si="89"/>
        <v>165.07936170212764</v>
      </c>
      <c r="P592" s="35">
        <f t="shared" si="86"/>
        <v>26.41</v>
      </c>
      <c r="Q592" s="34">
        <f t="shared" si="90"/>
        <v>247.61904255319146</v>
      </c>
      <c r="R592" s="35"/>
    </row>
    <row r="593" spans="1:18" x14ac:dyDescent="0.3">
      <c r="A593" s="32">
        <v>43609</v>
      </c>
      <c r="B593" s="33" t="s">
        <v>50</v>
      </c>
      <c r="C593" s="34">
        <v>1698</v>
      </c>
      <c r="D593" s="33">
        <v>80</v>
      </c>
      <c r="E593" s="33">
        <v>406.34</v>
      </c>
      <c r="F593" s="33">
        <v>2160</v>
      </c>
      <c r="G593" s="34">
        <v>406.34</v>
      </c>
      <c r="H593" s="34">
        <v>462</v>
      </c>
      <c r="I593" s="34">
        <v>2566.34</v>
      </c>
      <c r="J593" s="34">
        <v>398.95</v>
      </c>
      <c r="K593" s="34">
        <v>2965.29</v>
      </c>
      <c r="L593" s="33" t="s">
        <v>14</v>
      </c>
      <c r="M593" s="34">
        <f t="shared" si="88"/>
        <v>23.762407407407409</v>
      </c>
      <c r="N593" s="27">
        <v>108</v>
      </c>
      <c r="O593" s="34">
        <f t="shared" si="89"/>
        <v>332.67370370370372</v>
      </c>
      <c r="P593" s="35">
        <f t="shared" si="86"/>
        <v>49.9</v>
      </c>
      <c r="Q593" s="34">
        <f t="shared" si="90"/>
        <v>499.01055555555558</v>
      </c>
      <c r="R593" s="35"/>
    </row>
    <row r="594" spans="1:18" x14ac:dyDescent="0.3">
      <c r="A594" s="32">
        <v>43623</v>
      </c>
      <c r="B594" s="33" t="s">
        <v>50</v>
      </c>
      <c r="C594" s="34">
        <v>1790</v>
      </c>
      <c r="D594" s="33">
        <v>80</v>
      </c>
      <c r="E594" s="33">
        <v>314.39999999999998</v>
      </c>
      <c r="F594" s="33">
        <v>1790</v>
      </c>
      <c r="G594" s="34">
        <v>314.39999999999998</v>
      </c>
      <c r="H594" s="34">
        <v>0</v>
      </c>
      <c r="I594" s="34">
        <v>2104.4</v>
      </c>
      <c r="J594" s="34">
        <v>356.04</v>
      </c>
      <c r="K594" s="34">
        <v>2460.44</v>
      </c>
      <c r="L594" s="33" t="s">
        <v>14</v>
      </c>
      <c r="M594" s="34">
        <f t="shared" si="88"/>
        <v>23.512849162011175</v>
      </c>
      <c r="N594" s="27">
        <v>89.5</v>
      </c>
      <c r="O594" s="34">
        <f t="shared" si="89"/>
        <v>111.68603351955308</v>
      </c>
      <c r="P594" s="35">
        <f t="shared" si="86"/>
        <v>16.75</v>
      </c>
      <c r="Q594" s="34">
        <f t="shared" si="90"/>
        <v>167.52905027932962</v>
      </c>
      <c r="R594" s="35"/>
    </row>
    <row r="595" spans="1:18" x14ac:dyDescent="0.3">
      <c r="A595" s="32">
        <v>43637</v>
      </c>
      <c r="B595" s="33" t="s">
        <v>50</v>
      </c>
      <c r="C595" s="34">
        <v>1390</v>
      </c>
      <c r="D595" s="33">
        <v>80</v>
      </c>
      <c r="E595" s="33">
        <v>336.87</v>
      </c>
      <c r="F595" s="33">
        <v>2270</v>
      </c>
      <c r="G595" s="34">
        <v>336.87</v>
      </c>
      <c r="H595" s="34">
        <v>880</v>
      </c>
      <c r="I595" s="34">
        <v>2606.87</v>
      </c>
      <c r="J595" s="34">
        <v>402.71</v>
      </c>
      <c r="K595" s="34">
        <v>3009.58</v>
      </c>
      <c r="L595" s="33" t="s">
        <v>14</v>
      </c>
      <c r="M595" s="34">
        <f t="shared" si="88"/>
        <v>22.968017621145375</v>
      </c>
      <c r="N595" s="27">
        <v>113.5</v>
      </c>
      <c r="O595" s="34">
        <f t="shared" si="89"/>
        <v>384.71429515418504</v>
      </c>
      <c r="P595" s="35">
        <f t="shared" si="86"/>
        <v>53.86</v>
      </c>
      <c r="Q595" s="34">
        <f t="shared" si="90"/>
        <v>577.07144273127756</v>
      </c>
      <c r="R595" s="35"/>
    </row>
    <row r="596" spans="1:18" x14ac:dyDescent="0.3">
      <c r="A596" s="32">
        <v>43651</v>
      </c>
      <c r="B596" s="33" t="s">
        <v>50</v>
      </c>
      <c r="C596" s="34">
        <v>1680</v>
      </c>
      <c r="D596" s="33">
        <v>80</v>
      </c>
      <c r="E596" s="33">
        <v>190.3</v>
      </c>
      <c r="F596" s="33">
        <v>1680</v>
      </c>
      <c r="G596" s="34">
        <v>190.3</v>
      </c>
      <c r="H596" s="34">
        <v>0</v>
      </c>
      <c r="I596" s="34">
        <v>1870.3</v>
      </c>
      <c r="J596" s="34">
        <v>334.29</v>
      </c>
      <c r="K596" s="34">
        <v>2204.59</v>
      </c>
      <c r="L596" s="33" t="s">
        <v>14</v>
      </c>
      <c r="M596" s="34">
        <f t="shared" si="88"/>
        <v>22.265476190476189</v>
      </c>
      <c r="N596" s="27">
        <v>84</v>
      </c>
      <c r="O596" s="34">
        <f t="shared" si="89"/>
        <v>44.530952380952378</v>
      </c>
      <c r="P596" s="35">
        <f t="shared" si="86"/>
        <v>6.23</v>
      </c>
      <c r="Q596" s="34">
        <f t="shared" si="90"/>
        <v>66.796428571428564</v>
      </c>
      <c r="R596" s="35"/>
    </row>
    <row r="597" spans="1:18" x14ac:dyDescent="0.3">
      <c r="A597" s="32">
        <v>43665</v>
      </c>
      <c r="B597" s="33" t="s">
        <v>50</v>
      </c>
      <c r="C597" s="34">
        <v>1650</v>
      </c>
      <c r="D597" s="36">
        <v>50</v>
      </c>
      <c r="E597" s="33">
        <v>198.88</v>
      </c>
      <c r="F597" s="33">
        <v>1650</v>
      </c>
      <c r="G597" s="34">
        <v>198.88</v>
      </c>
      <c r="H597" s="34">
        <v>0</v>
      </c>
      <c r="I597" s="34">
        <v>1848.88</v>
      </c>
      <c r="J597" s="34">
        <v>332.3</v>
      </c>
      <c r="K597" s="34">
        <v>2181.1799999999998</v>
      </c>
      <c r="L597" s="33" t="s">
        <v>14</v>
      </c>
      <c r="M597" s="34">
        <f t="shared" si="88"/>
        <v>22.410666666666668</v>
      </c>
      <c r="N597" s="27">
        <v>82.5</v>
      </c>
      <c r="O597" s="38">
        <f>(M597*0.5)*10</f>
        <v>112.05333333333334</v>
      </c>
      <c r="P597" s="35">
        <f t="shared" si="86"/>
        <v>14.57</v>
      </c>
      <c r="Q597" s="34">
        <f t="shared" si="90"/>
        <v>168.08</v>
      </c>
      <c r="R597" s="35"/>
    </row>
    <row r="598" spans="1:18" x14ac:dyDescent="0.3">
      <c r="A598" s="32">
        <v>43679</v>
      </c>
      <c r="B598" s="33" t="s">
        <v>50</v>
      </c>
      <c r="C598" s="34">
        <v>1010</v>
      </c>
      <c r="D598" s="33">
        <v>80</v>
      </c>
      <c r="E598" s="33">
        <v>251.2</v>
      </c>
      <c r="F598" s="33">
        <v>1890</v>
      </c>
      <c r="G598" s="34">
        <v>251.22</v>
      </c>
      <c r="H598" s="34">
        <v>879.98</v>
      </c>
      <c r="I598" s="34">
        <v>2141.1999999999998</v>
      </c>
      <c r="J598" s="34">
        <v>359.47</v>
      </c>
      <c r="K598" s="34">
        <v>2500.67</v>
      </c>
      <c r="L598" s="33" t="s">
        <v>14</v>
      </c>
      <c r="M598" s="34">
        <f t="shared" si="88"/>
        <v>22.658201058201055</v>
      </c>
      <c r="N598" s="27">
        <v>94.5</v>
      </c>
      <c r="O598" s="34">
        <f>((N598-80)*M598)*0.5</f>
        <v>164.27195767195764</v>
      </c>
      <c r="P598" s="35">
        <f t="shared" si="86"/>
        <v>21.36</v>
      </c>
      <c r="Q598" s="34">
        <f t="shared" si="90"/>
        <v>246.40793650793645</v>
      </c>
      <c r="R598" s="35"/>
    </row>
    <row r="599" spans="1:18" x14ac:dyDescent="0.3">
      <c r="A599" s="32">
        <v>43693</v>
      </c>
      <c r="B599" s="33" t="s">
        <v>50</v>
      </c>
      <c r="C599" s="34">
        <v>2200</v>
      </c>
      <c r="D599" s="33">
        <v>80</v>
      </c>
      <c r="E599" s="33">
        <v>319.45999999999998</v>
      </c>
      <c r="F599" s="33">
        <v>2200</v>
      </c>
      <c r="G599" s="34">
        <v>319.45999999999998</v>
      </c>
      <c r="H599" s="34">
        <v>0</v>
      </c>
      <c r="I599" s="34">
        <v>2519.46</v>
      </c>
      <c r="J599" s="34">
        <v>394.58</v>
      </c>
      <c r="K599" s="34">
        <v>2914.04</v>
      </c>
      <c r="L599" s="33" t="s">
        <v>14</v>
      </c>
      <c r="M599" s="34">
        <f t="shared" si="88"/>
        <v>22.904181818181819</v>
      </c>
      <c r="N599" s="27">
        <v>110</v>
      </c>
      <c r="O599" s="34">
        <f>((N599-80)*M599)*0.5</f>
        <v>343.56272727272727</v>
      </c>
      <c r="P599" s="35">
        <f t="shared" si="86"/>
        <v>41.23</v>
      </c>
      <c r="Q599" s="34">
        <f t="shared" si="90"/>
        <v>515.34409090909094</v>
      </c>
      <c r="R599" s="35"/>
    </row>
    <row r="600" spans="1:18" x14ac:dyDescent="0.3">
      <c r="A600" s="32">
        <v>43707</v>
      </c>
      <c r="B600" s="33" t="s">
        <v>50</v>
      </c>
      <c r="C600" s="34">
        <v>930</v>
      </c>
      <c r="D600" s="36">
        <v>52.5</v>
      </c>
      <c r="E600" s="33">
        <v>233.77</v>
      </c>
      <c r="F600" s="33">
        <v>1810</v>
      </c>
      <c r="G600" s="34">
        <v>233.77</v>
      </c>
      <c r="H600" s="34">
        <v>880</v>
      </c>
      <c r="I600" s="34">
        <v>2043.77</v>
      </c>
      <c r="J600" s="34">
        <v>350.41</v>
      </c>
      <c r="K600" s="34">
        <v>2394.1799999999998</v>
      </c>
      <c r="L600" s="33" t="s">
        <v>14</v>
      </c>
      <c r="M600" s="34">
        <f t="shared" si="88"/>
        <v>22.583093922651933</v>
      </c>
      <c r="N600" s="27">
        <v>90.5</v>
      </c>
      <c r="O600" s="38">
        <f>(M600*0.5)*12.5</f>
        <v>141.14433701657458</v>
      </c>
      <c r="P600" s="35">
        <f t="shared" si="86"/>
        <v>16.940000000000001</v>
      </c>
      <c r="Q600" s="34">
        <f t="shared" si="90"/>
        <v>211.71650552486187</v>
      </c>
      <c r="R600" s="35"/>
    </row>
    <row r="601" spans="1:18" x14ac:dyDescent="0.3">
      <c r="A601" s="32">
        <v>43721</v>
      </c>
      <c r="B601" s="33" t="s">
        <v>50</v>
      </c>
      <c r="C601" s="34">
        <v>1960</v>
      </c>
      <c r="D601" s="36">
        <v>59</v>
      </c>
      <c r="E601" s="33">
        <v>266.48</v>
      </c>
      <c r="F601" s="33">
        <v>1960</v>
      </c>
      <c r="G601" s="34">
        <v>266.48</v>
      </c>
      <c r="H601" s="34">
        <v>0</v>
      </c>
      <c r="I601" s="34">
        <v>2226.48</v>
      </c>
      <c r="J601" s="34">
        <v>367.39</v>
      </c>
      <c r="K601" s="34">
        <v>2593.87</v>
      </c>
      <c r="L601" s="33" t="s">
        <v>14</v>
      </c>
      <c r="M601" s="34">
        <f t="shared" si="88"/>
        <v>22.719183673469388</v>
      </c>
      <c r="N601" s="27">
        <v>98</v>
      </c>
      <c r="O601" s="38">
        <f>(M601*0.5)*19</f>
        <v>215.83224489795919</v>
      </c>
      <c r="P601" s="35">
        <f t="shared" si="86"/>
        <v>23.74</v>
      </c>
      <c r="Q601" s="34">
        <f t="shared" si="90"/>
        <v>323.74836734693878</v>
      </c>
      <c r="R601" s="35"/>
    </row>
    <row r="602" spans="1:18" x14ac:dyDescent="0.3">
      <c r="A602" s="32">
        <v>43735</v>
      </c>
      <c r="B602" s="33" t="s">
        <v>50</v>
      </c>
      <c r="C602" s="34">
        <v>2435</v>
      </c>
      <c r="D602" s="33">
        <v>80</v>
      </c>
      <c r="E602" s="33">
        <v>487.21</v>
      </c>
      <c r="F602" s="33">
        <v>2875</v>
      </c>
      <c r="G602" s="34">
        <v>487.21</v>
      </c>
      <c r="H602" s="34">
        <v>440</v>
      </c>
      <c r="I602" s="34">
        <v>3362.21</v>
      </c>
      <c r="J602" s="34">
        <v>472.89</v>
      </c>
      <c r="K602" s="34">
        <v>3835.1</v>
      </c>
      <c r="L602" s="33" t="s">
        <v>14</v>
      </c>
      <c r="M602" s="34">
        <f t="shared" si="88"/>
        <v>26.897680000000001</v>
      </c>
      <c r="N602" s="27">
        <v>125</v>
      </c>
      <c r="O602" s="34">
        <f>((N602-80)*M602)*0.5</f>
        <v>605.19780000000003</v>
      </c>
      <c r="P602" s="35">
        <f t="shared" si="86"/>
        <v>66.569999999999993</v>
      </c>
      <c r="Q602" s="34">
        <f t="shared" si="90"/>
        <v>907.7967000000001</v>
      </c>
      <c r="R602" s="35"/>
    </row>
    <row r="603" spans="1:18" x14ac:dyDescent="0.3">
      <c r="A603" s="32">
        <v>43749</v>
      </c>
      <c r="B603" s="33" t="s">
        <v>50</v>
      </c>
      <c r="C603" s="34">
        <v>2829</v>
      </c>
      <c r="D603" s="33">
        <v>80</v>
      </c>
      <c r="E603" s="33">
        <v>475.77</v>
      </c>
      <c r="F603" s="33">
        <v>2829</v>
      </c>
      <c r="G603" s="34">
        <v>475.77</v>
      </c>
      <c r="H603" s="34">
        <v>0</v>
      </c>
      <c r="I603" s="34">
        <v>3304.77</v>
      </c>
      <c r="J603" s="34">
        <v>467.55</v>
      </c>
      <c r="K603" s="34">
        <v>3772.32</v>
      </c>
      <c r="L603" s="33" t="s">
        <v>14</v>
      </c>
      <c r="M603" s="34">
        <f t="shared" si="88"/>
        <v>26.868048780487804</v>
      </c>
      <c r="N603" s="27">
        <v>123</v>
      </c>
      <c r="O603" s="34">
        <f>((N603-80)*M603)*0.5</f>
        <v>577.66304878048777</v>
      </c>
      <c r="P603" s="35">
        <f t="shared" si="86"/>
        <v>57.77</v>
      </c>
      <c r="Q603" s="34">
        <f t="shared" si="90"/>
        <v>866.49457317073166</v>
      </c>
      <c r="R603" s="35"/>
    </row>
    <row r="604" spans="1:18" x14ac:dyDescent="0.3">
      <c r="A604" s="32">
        <v>43763</v>
      </c>
      <c r="B604" s="33" t="s">
        <v>50</v>
      </c>
      <c r="C604" s="34">
        <v>2495</v>
      </c>
      <c r="D604" s="33">
        <v>80</v>
      </c>
      <c r="E604" s="33">
        <v>392.78</v>
      </c>
      <c r="F604" s="33">
        <v>2495</v>
      </c>
      <c r="G604" s="34">
        <v>392.78</v>
      </c>
      <c r="H604" s="34">
        <v>0</v>
      </c>
      <c r="I604" s="34">
        <v>2887.78</v>
      </c>
      <c r="J604" s="34">
        <v>428.81</v>
      </c>
      <c r="K604" s="34">
        <v>3316.59</v>
      </c>
      <c r="L604" s="33" t="s">
        <v>14</v>
      </c>
      <c r="M604" s="34">
        <f t="shared" si="88"/>
        <v>26.61548387096774</v>
      </c>
      <c r="N604" s="27">
        <v>108.5</v>
      </c>
      <c r="O604" s="34">
        <f>((N604-80)*M604)*0.5</f>
        <v>379.2706451612903</v>
      </c>
      <c r="P604" s="35">
        <f t="shared" si="86"/>
        <v>37.93</v>
      </c>
      <c r="Q604" s="34">
        <f t="shared" si="90"/>
        <v>568.90596774193546</v>
      </c>
      <c r="R604" s="35"/>
    </row>
    <row r="605" spans="1:18" x14ac:dyDescent="0.3">
      <c r="A605" s="32">
        <v>43777</v>
      </c>
      <c r="B605" s="33" t="s">
        <v>50</v>
      </c>
      <c r="C605" s="34">
        <v>2852</v>
      </c>
      <c r="D605" s="33">
        <v>80</v>
      </c>
      <c r="E605" s="33">
        <v>481.5</v>
      </c>
      <c r="F605" s="33">
        <v>2852</v>
      </c>
      <c r="G605" s="34">
        <v>481.5</v>
      </c>
      <c r="H605" s="34">
        <v>0</v>
      </c>
      <c r="I605" s="34">
        <v>3333.5</v>
      </c>
      <c r="J605" s="34">
        <v>470.23</v>
      </c>
      <c r="K605" s="34">
        <v>3803.73</v>
      </c>
      <c r="L605" s="33" t="s">
        <v>14</v>
      </c>
      <c r="M605" s="34">
        <f t="shared" si="88"/>
        <v>26.991902834008098</v>
      </c>
      <c r="N605" s="27">
        <v>123.5</v>
      </c>
      <c r="O605" s="34">
        <f>((N605-80)*M605)*0.5</f>
        <v>587.07388663967618</v>
      </c>
      <c r="P605" s="35">
        <f t="shared" si="86"/>
        <v>52.84</v>
      </c>
      <c r="Q605" s="34">
        <f t="shared" si="90"/>
        <v>880.61082995951426</v>
      </c>
      <c r="R605" s="35"/>
    </row>
    <row r="606" spans="1:18" x14ac:dyDescent="0.3">
      <c r="A606" s="32">
        <v>43791</v>
      </c>
      <c r="B606" s="33" t="s">
        <v>50</v>
      </c>
      <c r="C606" s="34">
        <v>2219</v>
      </c>
      <c r="D606" s="33">
        <v>80</v>
      </c>
      <c r="E606" s="33">
        <v>324.19</v>
      </c>
      <c r="F606" s="33">
        <v>2219</v>
      </c>
      <c r="G606" s="34">
        <v>324.19</v>
      </c>
      <c r="H606" s="34">
        <v>0</v>
      </c>
      <c r="I606" s="34">
        <v>2543.19</v>
      </c>
      <c r="J606" s="34">
        <v>396.8</v>
      </c>
      <c r="K606" s="34">
        <v>2939.99</v>
      </c>
      <c r="L606" s="33" t="s">
        <v>14</v>
      </c>
      <c r="M606" s="34">
        <f t="shared" si="88"/>
        <v>26.354300518134714</v>
      </c>
      <c r="N606" s="27">
        <v>96.5</v>
      </c>
      <c r="O606" s="34">
        <f>((N606-80)*M606)*0.5</f>
        <v>217.42297927461138</v>
      </c>
      <c r="P606" s="35">
        <f t="shared" si="86"/>
        <v>19.57</v>
      </c>
      <c r="Q606" s="34">
        <f t="shared" si="90"/>
        <v>326.13446891191705</v>
      </c>
      <c r="R606" s="35"/>
    </row>
    <row r="607" spans="1:18" x14ac:dyDescent="0.3">
      <c r="A607" s="32">
        <v>43805</v>
      </c>
      <c r="B607" s="33" t="s">
        <v>50</v>
      </c>
      <c r="C607" s="34">
        <v>1805</v>
      </c>
      <c r="D607" s="36">
        <v>52</v>
      </c>
      <c r="E607" s="33">
        <v>232.69</v>
      </c>
      <c r="F607" s="33">
        <v>1805</v>
      </c>
      <c r="G607" s="34">
        <v>232.69</v>
      </c>
      <c r="H607" s="34">
        <v>0</v>
      </c>
      <c r="I607" s="34">
        <v>2037.69</v>
      </c>
      <c r="J607" s="34">
        <v>330.16</v>
      </c>
      <c r="K607" s="34">
        <v>2367.85</v>
      </c>
      <c r="L607" s="33" t="s">
        <v>14</v>
      </c>
      <c r="M607" s="34">
        <f t="shared" si="88"/>
        <v>25.957834394904459</v>
      </c>
      <c r="N607" s="27">
        <v>78.5</v>
      </c>
      <c r="O607" s="38">
        <f>(M607*0.5)*12</f>
        <v>155.74700636942674</v>
      </c>
      <c r="P607" s="35">
        <f t="shared" si="86"/>
        <v>14.02</v>
      </c>
      <c r="Q607" s="34">
        <f t="shared" si="90"/>
        <v>233.62050955414011</v>
      </c>
      <c r="R607" s="35"/>
    </row>
    <row r="608" spans="1:18" x14ac:dyDescent="0.3">
      <c r="A608" s="32">
        <v>43819</v>
      </c>
      <c r="B608" s="33" t="s">
        <v>50</v>
      </c>
      <c r="C608" s="34">
        <v>2323</v>
      </c>
      <c r="D608" s="33">
        <v>80</v>
      </c>
      <c r="E608" s="33">
        <v>350.03</v>
      </c>
      <c r="F608" s="33">
        <v>2323</v>
      </c>
      <c r="G608" s="34">
        <v>350.03</v>
      </c>
      <c r="H608" s="34">
        <v>0</v>
      </c>
      <c r="I608" s="34">
        <v>2673.03</v>
      </c>
      <c r="J608" s="34">
        <v>365.02</v>
      </c>
      <c r="K608" s="34">
        <v>3038.05</v>
      </c>
      <c r="L608" s="33" t="s">
        <v>14</v>
      </c>
      <c r="M608" s="34">
        <f t="shared" si="88"/>
        <v>26.465643564356434</v>
      </c>
      <c r="N608" s="27">
        <v>101</v>
      </c>
      <c r="O608" s="34">
        <f>((N608-80)*M608)*0.5</f>
        <v>277.88925742574253</v>
      </c>
      <c r="P608" s="35">
        <f t="shared" si="86"/>
        <v>22.23</v>
      </c>
      <c r="Q608" s="34">
        <f t="shared" si="90"/>
        <v>416.83388613861382</v>
      </c>
      <c r="R608" s="35"/>
    </row>
    <row r="609" spans="1:18" x14ac:dyDescent="0.3">
      <c r="A609" s="32">
        <v>43833</v>
      </c>
      <c r="B609" s="33" t="s">
        <v>50</v>
      </c>
      <c r="C609" s="34">
        <v>2070</v>
      </c>
      <c r="D609" s="36">
        <v>50.5</v>
      </c>
      <c r="E609" s="33">
        <v>286.26</v>
      </c>
      <c r="F609" s="33">
        <v>2070</v>
      </c>
      <c r="G609" s="34">
        <v>286.26</v>
      </c>
      <c r="H609" s="34">
        <v>0</v>
      </c>
      <c r="I609" s="34">
        <v>2356.2600000000002</v>
      </c>
      <c r="J609" s="34">
        <v>393.58</v>
      </c>
      <c r="K609" s="34">
        <v>2749.84</v>
      </c>
      <c r="L609" s="33" t="s">
        <v>14</v>
      </c>
      <c r="M609" s="34">
        <f t="shared" si="88"/>
        <v>26.326927374301679</v>
      </c>
      <c r="N609" s="27">
        <v>89.5</v>
      </c>
      <c r="O609" s="38">
        <f>(M609*0.5)*10.5</f>
        <v>138.2163687150838</v>
      </c>
      <c r="P609" s="35">
        <f t="shared" si="86"/>
        <v>11.06</v>
      </c>
      <c r="Q609" s="34">
        <f t="shared" si="90"/>
        <v>207.32455307262569</v>
      </c>
      <c r="R609" s="35"/>
    </row>
    <row r="610" spans="1:18" x14ac:dyDescent="0.3">
      <c r="A610" s="32">
        <v>43847</v>
      </c>
      <c r="B610" s="33" t="s">
        <v>50</v>
      </c>
      <c r="C610" s="34">
        <v>2081</v>
      </c>
      <c r="D610" s="36">
        <v>51.5</v>
      </c>
      <c r="E610" s="33"/>
      <c r="F610" s="33">
        <v>2081</v>
      </c>
      <c r="G610" s="34">
        <v>236.96</v>
      </c>
      <c r="H610" s="34">
        <v>0</v>
      </c>
      <c r="I610" s="34">
        <v>2317.96</v>
      </c>
      <c r="J610" s="34">
        <v>366.34</v>
      </c>
      <c r="K610" s="34">
        <v>2684.3</v>
      </c>
      <c r="L610" s="33" t="s">
        <v>14</v>
      </c>
      <c r="M610" s="34">
        <f t="shared" si="88"/>
        <v>22.994475138121548</v>
      </c>
      <c r="N610" s="27">
        <v>90.5</v>
      </c>
      <c r="O610" s="38">
        <f>(M610*0.5)*11.5</f>
        <v>132.21823204419888</v>
      </c>
      <c r="P610" s="35">
        <f t="shared" si="86"/>
        <v>9.26</v>
      </c>
      <c r="Q610" s="34">
        <f t="shared" si="90"/>
        <v>198.32734806629833</v>
      </c>
      <c r="R610" s="35"/>
    </row>
    <row r="611" spans="1:18" x14ac:dyDescent="0.3">
      <c r="A611" s="32">
        <v>43861</v>
      </c>
      <c r="B611" s="33" t="s">
        <v>50</v>
      </c>
      <c r="C611" s="34">
        <v>2334</v>
      </c>
      <c r="D611" s="33">
        <v>80</v>
      </c>
      <c r="E611" s="33"/>
      <c r="F611" s="33">
        <v>2346</v>
      </c>
      <c r="G611" s="34">
        <v>284.42</v>
      </c>
      <c r="H611" s="34">
        <v>12</v>
      </c>
      <c r="I611" s="34">
        <v>2630.42</v>
      </c>
      <c r="J611" s="34">
        <v>392.57</v>
      </c>
      <c r="K611" s="34">
        <v>3022.99</v>
      </c>
      <c r="L611" s="33" t="s">
        <v>14</v>
      </c>
      <c r="M611" s="34">
        <f t="shared" si="88"/>
        <v>23</v>
      </c>
      <c r="N611" s="27">
        <v>102</v>
      </c>
      <c r="O611" s="34">
        <f>((N611-80)*M611)*0.5</f>
        <v>253</v>
      </c>
      <c r="P611" s="35">
        <f t="shared" si="86"/>
        <v>17.71</v>
      </c>
      <c r="Q611" s="34">
        <f t="shared" si="90"/>
        <v>379.5</v>
      </c>
      <c r="R611" s="35"/>
    </row>
    <row r="612" spans="1:18" x14ac:dyDescent="0.3">
      <c r="A612" s="32">
        <v>43875</v>
      </c>
      <c r="B612" s="33" t="s">
        <v>50</v>
      </c>
      <c r="C612" s="34">
        <v>2219</v>
      </c>
      <c r="D612" s="33">
        <v>80</v>
      </c>
      <c r="E612" s="33"/>
      <c r="F612" s="33">
        <v>2254</v>
      </c>
      <c r="G612" s="34">
        <v>259.12</v>
      </c>
      <c r="H612" s="34">
        <v>35</v>
      </c>
      <c r="I612" s="34">
        <v>2513.12</v>
      </c>
      <c r="J612" s="34">
        <v>323.11</v>
      </c>
      <c r="K612" s="34">
        <v>2836.23</v>
      </c>
      <c r="L612" s="33" t="s">
        <v>14</v>
      </c>
      <c r="M612" s="34">
        <f t="shared" si="88"/>
        <v>23</v>
      </c>
      <c r="N612" s="27">
        <v>98</v>
      </c>
      <c r="O612" s="34">
        <f>((N612-80)*M612)*0.5</f>
        <v>207</v>
      </c>
      <c r="P612" s="35">
        <f t="shared" si="86"/>
        <v>12.42</v>
      </c>
      <c r="Q612" s="34">
        <f t="shared" si="90"/>
        <v>310.5</v>
      </c>
      <c r="R612" s="35"/>
    </row>
    <row r="613" spans="1:18" x14ac:dyDescent="0.3">
      <c r="A613" s="32">
        <v>43889</v>
      </c>
      <c r="B613" s="33" t="s">
        <v>50</v>
      </c>
      <c r="C613" s="34">
        <v>2081</v>
      </c>
      <c r="D613" s="33">
        <v>80</v>
      </c>
      <c r="E613" s="33"/>
      <c r="F613" s="33">
        <v>2081</v>
      </c>
      <c r="G613" s="34">
        <v>228.14</v>
      </c>
      <c r="H613" s="34">
        <v>0</v>
      </c>
      <c r="I613" s="34">
        <v>2309.14</v>
      </c>
      <c r="J613" s="34">
        <v>305.75</v>
      </c>
      <c r="K613" s="34">
        <v>2614.89</v>
      </c>
      <c r="L613" s="33" t="s">
        <v>14</v>
      </c>
      <c r="M613" s="34">
        <f t="shared" si="88"/>
        <v>22.994475138121548</v>
      </c>
      <c r="N613" s="27">
        <v>90.5</v>
      </c>
      <c r="O613" s="34">
        <f>((N613-80)*M613)*0.5</f>
        <v>120.72099447513813</v>
      </c>
      <c r="P613" s="35">
        <f t="shared" si="86"/>
        <v>7.24</v>
      </c>
      <c r="Q613" s="34">
        <f t="shared" si="90"/>
        <v>181.08149171270719</v>
      </c>
      <c r="R613" s="35"/>
    </row>
    <row r="614" spans="1:18" x14ac:dyDescent="0.3">
      <c r="A614" s="32">
        <v>43903</v>
      </c>
      <c r="B614" s="33" t="s">
        <v>50</v>
      </c>
      <c r="C614" s="34">
        <v>2325</v>
      </c>
      <c r="D614" s="33">
        <v>80</v>
      </c>
      <c r="E614" s="33"/>
      <c r="F614" s="33">
        <v>2325</v>
      </c>
      <c r="G614" s="34">
        <v>271.83999999999997</v>
      </c>
      <c r="H614" s="34">
        <v>0</v>
      </c>
      <c r="I614" s="34">
        <v>2596.84</v>
      </c>
      <c r="J614" s="34">
        <v>328.42</v>
      </c>
      <c r="K614" s="34">
        <v>2925.26</v>
      </c>
      <c r="L614" s="33" t="s">
        <v>14</v>
      </c>
      <c r="M614" s="34">
        <f t="shared" si="88"/>
        <v>25</v>
      </c>
      <c r="N614" s="27">
        <v>93</v>
      </c>
      <c r="O614" s="34">
        <f>((N614-80)*M614)*0.5</f>
        <v>162.5</v>
      </c>
      <c r="P614" s="35">
        <f t="shared" si="86"/>
        <v>8.1300000000000008</v>
      </c>
      <c r="Q614" s="34">
        <f t="shared" si="90"/>
        <v>243.75</v>
      </c>
      <c r="R614" s="35"/>
    </row>
    <row r="615" spans="1:18" x14ac:dyDescent="0.3">
      <c r="A615" s="32">
        <v>43917</v>
      </c>
      <c r="B615" s="33" t="s">
        <v>50</v>
      </c>
      <c r="C615" s="34">
        <v>3624.32</v>
      </c>
      <c r="D615" s="36">
        <v>76</v>
      </c>
      <c r="E615" s="33"/>
      <c r="F615" s="36">
        <v>2166</v>
      </c>
      <c r="G615" s="34">
        <v>241.68</v>
      </c>
      <c r="H615" s="34">
        <v>0</v>
      </c>
      <c r="I615" s="34">
        <v>3866</v>
      </c>
      <c r="J615" s="34">
        <v>308.01</v>
      </c>
      <c r="K615" s="34">
        <v>4174.01</v>
      </c>
      <c r="L615" s="33" t="s">
        <v>14</v>
      </c>
      <c r="M615" s="34">
        <f t="shared" si="88"/>
        <v>28.5</v>
      </c>
      <c r="N615" s="27">
        <v>76</v>
      </c>
      <c r="O615" s="34">
        <v>0</v>
      </c>
      <c r="P615" s="35">
        <f t="shared" si="86"/>
        <v>0</v>
      </c>
      <c r="Q615" s="34">
        <f t="shared" si="90"/>
        <v>0</v>
      </c>
      <c r="R615" s="35"/>
    </row>
    <row r="616" spans="1:18" x14ac:dyDescent="0.3">
      <c r="A616" s="32">
        <v>43931</v>
      </c>
      <c r="B616" s="33" t="s">
        <v>50</v>
      </c>
      <c r="C616" s="34">
        <v>1033.07</v>
      </c>
      <c r="D616" s="36">
        <v>24</v>
      </c>
      <c r="E616" s="33"/>
      <c r="F616" s="33">
        <v>1140</v>
      </c>
      <c r="G616" s="34">
        <v>106.93</v>
      </c>
      <c r="H616" s="34">
        <v>0</v>
      </c>
      <c r="I616" s="34">
        <v>1140</v>
      </c>
      <c r="J616" s="34">
        <v>162.12</v>
      </c>
      <c r="K616" s="34">
        <v>1302.1199999999999</v>
      </c>
      <c r="L616" s="33" t="s">
        <v>14</v>
      </c>
      <c r="M616" s="34">
        <f t="shared" si="88"/>
        <v>47.5</v>
      </c>
      <c r="N616" s="27">
        <v>24</v>
      </c>
      <c r="O616" s="34">
        <v>0</v>
      </c>
      <c r="P616" s="35">
        <f t="shared" si="86"/>
        <v>0</v>
      </c>
      <c r="Q616" s="34">
        <f t="shared" si="90"/>
        <v>0</v>
      </c>
      <c r="R616" s="35"/>
    </row>
    <row r="617" spans="1:18" x14ac:dyDescent="0.3">
      <c r="A617" s="37" t="s">
        <v>77</v>
      </c>
      <c r="B617" s="33" t="s">
        <v>50</v>
      </c>
      <c r="C617" s="34">
        <v>500</v>
      </c>
      <c r="D617" s="36">
        <v>19.36</v>
      </c>
      <c r="E617" s="33"/>
      <c r="F617" s="33">
        <v>551.76</v>
      </c>
      <c r="G617" s="34">
        <v>51.76</v>
      </c>
      <c r="H617" s="34">
        <v>0</v>
      </c>
      <c r="I617" s="34">
        <v>551.76</v>
      </c>
      <c r="J617" s="34">
        <v>78.28</v>
      </c>
      <c r="K617" s="34">
        <v>630.04</v>
      </c>
      <c r="L617" s="33" t="s">
        <v>14</v>
      </c>
      <c r="M617" s="34" t="e">
        <f t="shared" si="88"/>
        <v>#DIV/0!</v>
      </c>
      <c r="N617" s="27"/>
      <c r="O617" s="34" t="e">
        <f>((N617-80)*M617)*0.5</f>
        <v>#DIV/0!</v>
      </c>
      <c r="P617" s="35" t="e">
        <f t="shared" si="86"/>
        <v>#VALUE!</v>
      </c>
      <c r="Q617" s="34" t="e">
        <f t="shared" si="90"/>
        <v>#DIV/0!</v>
      </c>
      <c r="R617" s="35"/>
    </row>
    <row r="618" spans="1:18" x14ac:dyDescent="0.3">
      <c r="A618" s="37" t="s">
        <v>77</v>
      </c>
      <c r="B618" s="33" t="s">
        <v>50</v>
      </c>
      <c r="C618" s="34">
        <v>700.11</v>
      </c>
      <c r="D618" s="36">
        <v>27.11</v>
      </c>
      <c r="E618" s="33"/>
      <c r="F618" s="33">
        <v>772.58</v>
      </c>
      <c r="G618" s="34">
        <v>72.47</v>
      </c>
      <c r="H618" s="34">
        <v>0</v>
      </c>
      <c r="I618" s="34">
        <v>772.58</v>
      </c>
      <c r="J618" s="34">
        <v>109.61</v>
      </c>
      <c r="K618" s="34">
        <v>882.19</v>
      </c>
      <c r="L618" s="33" t="s">
        <v>14</v>
      </c>
      <c r="M618" s="34" t="e">
        <f t="shared" si="88"/>
        <v>#DIV/0!</v>
      </c>
      <c r="N618" s="27"/>
      <c r="O618" s="34" t="e">
        <f>((N618-80)*M618)*0.5</f>
        <v>#DIV/0!</v>
      </c>
      <c r="P618" s="35" t="e">
        <f t="shared" si="86"/>
        <v>#VALUE!</v>
      </c>
      <c r="Q618" s="34" t="e">
        <f t="shared" si="90"/>
        <v>#DIV/0!</v>
      </c>
      <c r="R618" s="35"/>
    </row>
    <row r="619" spans="1:18" x14ac:dyDescent="0.3">
      <c r="A619" s="37" t="s">
        <v>77</v>
      </c>
      <c r="B619" s="33" t="s">
        <v>50</v>
      </c>
      <c r="C619" s="34">
        <v>1033.07</v>
      </c>
      <c r="D619" s="36">
        <v>40.5</v>
      </c>
      <c r="E619" s="33"/>
      <c r="F619" s="33">
        <v>1140</v>
      </c>
      <c r="G619" s="34">
        <v>106.93</v>
      </c>
      <c r="H619" s="34">
        <v>0</v>
      </c>
      <c r="I619" s="34">
        <v>1140</v>
      </c>
      <c r="J619" s="34">
        <v>161.72999999999999</v>
      </c>
      <c r="K619" s="34">
        <v>1301.73</v>
      </c>
      <c r="L619" s="33" t="s">
        <v>14</v>
      </c>
      <c r="M619" s="34" t="e">
        <f t="shared" si="88"/>
        <v>#DIV/0!</v>
      </c>
      <c r="N619" s="27"/>
      <c r="O619" s="34" t="e">
        <f>((N619-80)*M619)*0.5</f>
        <v>#DIV/0!</v>
      </c>
      <c r="P619" s="35" t="e">
        <f t="shared" si="86"/>
        <v>#VALUE!</v>
      </c>
      <c r="Q619" s="34" t="e">
        <f t="shared" si="90"/>
        <v>#DIV/0!</v>
      </c>
      <c r="R619" s="35"/>
    </row>
    <row r="620" spans="1:18" x14ac:dyDescent="0.3">
      <c r="A620" s="32">
        <v>43987</v>
      </c>
      <c r="B620" s="33" t="s">
        <v>50</v>
      </c>
      <c r="C620" s="34">
        <v>1855.39</v>
      </c>
      <c r="D620" s="33">
        <v>73</v>
      </c>
      <c r="E620" s="33"/>
      <c r="F620" s="33">
        <v>2080.5</v>
      </c>
      <c r="G620" s="34">
        <v>225.11</v>
      </c>
      <c r="H620" s="34">
        <v>0</v>
      </c>
      <c r="I620" s="34">
        <v>2080.5</v>
      </c>
      <c r="J620" s="34">
        <v>295.16000000000003</v>
      </c>
      <c r="K620" s="34">
        <v>2375.66</v>
      </c>
      <c r="L620" s="33" t="s">
        <v>14</v>
      </c>
      <c r="M620" s="34">
        <f t="shared" si="88"/>
        <v>28.5</v>
      </c>
      <c r="N620" s="27">
        <v>73</v>
      </c>
      <c r="O620" s="38">
        <f>(M620*0.5)*0.5</f>
        <v>7.125</v>
      </c>
      <c r="P620" s="35">
        <f t="shared" si="86"/>
        <v>0.14000000000000001</v>
      </c>
      <c r="Q620" s="34">
        <f t="shared" si="90"/>
        <v>10.6875</v>
      </c>
      <c r="R620" s="35"/>
    </row>
    <row r="621" spans="1:18" x14ac:dyDescent="0.3">
      <c r="A621" s="32">
        <v>43995</v>
      </c>
      <c r="B621" s="33" t="s">
        <v>50</v>
      </c>
      <c r="C621" s="34"/>
      <c r="D621" s="31">
        <v>81</v>
      </c>
      <c r="E621" s="33"/>
      <c r="F621" s="33"/>
      <c r="G621" s="34"/>
      <c r="H621" s="34"/>
      <c r="I621" s="34"/>
      <c r="J621" s="34"/>
      <c r="K621" s="34"/>
      <c r="L621" s="33"/>
      <c r="M621" s="34"/>
      <c r="N621" s="27"/>
      <c r="O621" s="34"/>
      <c r="P621" s="35">
        <f t="shared" si="86"/>
        <v>0</v>
      </c>
      <c r="Q621" s="34"/>
      <c r="R621" s="35"/>
    </row>
    <row r="622" spans="1:18" x14ac:dyDescent="0.3">
      <c r="A622" s="32">
        <v>44009</v>
      </c>
      <c r="B622" s="33" t="s">
        <v>50</v>
      </c>
      <c r="C622" s="34"/>
      <c r="D622" s="31">
        <v>96.5</v>
      </c>
      <c r="E622" s="33"/>
      <c r="F622" s="33"/>
      <c r="G622" s="34"/>
      <c r="H622" s="34"/>
      <c r="I622" s="34"/>
      <c r="J622" s="34"/>
      <c r="K622" s="34"/>
      <c r="L622" s="33"/>
      <c r="M622" s="34"/>
      <c r="N622" s="27"/>
      <c r="O622" s="34"/>
      <c r="P622" s="35">
        <f t="shared" si="86"/>
        <v>0</v>
      </c>
      <c r="Q622" s="34"/>
      <c r="R622" s="35"/>
    </row>
    <row r="623" spans="1:18" x14ac:dyDescent="0.3">
      <c r="A623" s="32">
        <v>44023</v>
      </c>
      <c r="B623" s="33" t="s">
        <v>50</v>
      </c>
      <c r="C623" s="34"/>
      <c r="D623" s="31">
        <v>106.5</v>
      </c>
      <c r="E623" s="33"/>
      <c r="F623" s="33"/>
      <c r="G623" s="34"/>
      <c r="H623" s="34"/>
      <c r="I623" s="34"/>
      <c r="J623" s="34"/>
      <c r="K623" s="34"/>
      <c r="L623" s="33"/>
      <c r="M623" s="34"/>
      <c r="N623" s="27"/>
      <c r="O623" s="34"/>
      <c r="P623" s="35">
        <f t="shared" si="86"/>
        <v>0</v>
      </c>
      <c r="Q623" s="34"/>
      <c r="R623" s="35"/>
    </row>
    <row r="624" spans="1:18" x14ac:dyDescent="0.3">
      <c r="A624" s="37" t="s">
        <v>77</v>
      </c>
      <c r="B624" s="33" t="s">
        <v>51</v>
      </c>
      <c r="C624" s="34">
        <v>819</v>
      </c>
      <c r="D624" s="33">
        <v>45</v>
      </c>
      <c r="E624" s="33">
        <v>96.23</v>
      </c>
      <c r="F624" s="33">
        <v>819</v>
      </c>
      <c r="G624" s="34">
        <v>96.23</v>
      </c>
      <c r="H624" s="34">
        <v>0</v>
      </c>
      <c r="I624" s="34">
        <v>915.23</v>
      </c>
      <c r="J624" s="34">
        <v>180.81</v>
      </c>
      <c r="K624" s="34">
        <v>1096.04</v>
      </c>
      <c r="L624" s="33">
        <v>100183</v>
      </c>
      <c r="M624" s="34" t="e">
        <f t="shared" ref="M624:M644" si="91">(E624+F624)/N624</f>
        <v>#DIV/0!</v>
      </c>
      <c r="N624" s="27"/>
      <c r="O624" s="34" t="e">
        <f t="shared" ref="O624:O630" si="92">((N624-80)*M624)*0.5</f>
        <v>#DIV/0!</v>
      </c>
      <c r="P624" s="35" t="e">
        <f t="shared" si="86"/>
        <v>#VALUE!</v>
      </c>
      <c r="Q624" s="34" t="e">
        <f t="shared" ref="Q624:Q644" si="93">O624*1.5</f>
        <v>#DIV/0!</v>
      </c>
      <c r="R624" s="35">
        <v>409.55</v>
      </c>
    </row>
    <row r="625" spans="1:18" x14ac:dyDescent="0.3">
      <c r="A625" s="37" t="s">
        <v>77</v>
      </c>
      <c r="B625" s="33" t="s">
        <v>51</v>
      </c>
      <c r="C625" s="34">
        <v>1098</v>
      </c>
      <c r="D625" s="33">
        <v>50</v>
      </c>
      <c r="E625" s="33">
        <v>123.07</v>
      </c>
      <c r="F625" s="33">
        <v>1098</v>
      </c>
      <c r="G625" s="34">
        <v>123.07</v>
      </c>
      <c r="H625" s="34">
        <v>0</v>
      </c>
      <c r="I625" s="34">
        <v>1221.07</v>
      </c>
      <c r="J625" s="34">
        <v>221.11</v>
      </c>
      <c r="K625" s="34">
        <v>1442.18</v>
      </c>
      <c r="L625" s="33">
        <v>100184</v>
      </c>
      <c r="M625" s="34" t="e">
        <f t="shared" si="91"/>
        <v>#DIV/0!</v>
      </c>
      <c r="N625" s="27"/>
      <c r="O625" s="34" t="e">
        <f t="shared" si="92"/>
        <v>#DIV/0!</v>
      </c>
      <c r="P625" s="35" t="e">
        <f t="shared" si="86"/>
        <v>#VALUE!</v>
      </c>
      <c r="Q625" s="34" t="e">
        <f t="shared" si="93"/>
        <v>#DIV/0!</v>
      </c>
      <c r="R625" s="35"/>
    </row>
    <row r="626" spans="1:18" x14ac:dyDescent="0.3">
      <c r="A626" s="32">
        <v>43735</v>
      </c>
      <c r="B626" s="33" t="s">
        <v>51</v>
      </c>
      <c r="C626" s="34">
        <v>2962</v>
      </c>
      <c r="D626" s="33">
        <v>80</v>
      </c>
      <c r="E626" s="33">
        <v>618.6</v>
      </c>
      <c r="F626" s="33">
        <v>3402</v>
      </c>
      <c r="G626" s="34">
        <v>618.16</v>
      </c>
      <c r="H626" s="34">
        <v>440</v>
      </c>
      <c r="I626" s="34">
        <v>4020.16</v>
      </c>
      <c r="J626" s="34">
        <v>558.12</v>
      </c>
      <c r="K626" s="34">
        <v>4578.28</v>
      </c>
      <c r="L626" s="33" t="s">
        <v>14</v>
      </c>
      <c r="M626" s="34">
        <f t="shared" si="91"/>
        <v>26.278431372549019</v>
      </c>
      <c r="N626" s="27">
        <v>153</v>
      </c>
      <c r="O626" s="34">
        <f t="shared" si="92"/>
        <v>959.16274509803918</v>
      </c>
      <c r="P626" s="35">
        <f t="shared" si="86"/>
        <v>105.51</v>
      </c>
      <c r="Q626" s="34">
        <f t="shared" si="93"/>
        <v>1438.7441176470588</v>
      </c>
      <c r="R626" s="35"/>
    </row>
    <row r="627" spans="1:18" x14ac:dyDescent="0.3">
      <c r="A627" s="32">
        <v>43749</v>
      </c>
      <c r="B627" s="33" t="s">
        <v>51</v>
      </c>
      <c r="C627" s="34">
        <v>2835</v>
      </c>
      <c r="D627" s="33">
        <v>80</v>
      </c>
      <c r="E627" s="33">
        <v>477.27</v>
      </c>
      <c r="F627" s="33">
        <v>2835</v>
      </c>
      <c r="G627" s="34">
        <v>477.27</v>
      </c>
      <c r="H627" s="34">
        <v>0</v>
      </c>
      <c r="I627" s="34">
        <v>3312.27</v>
      </c>
      <c r="J627" s="34">
        <v>473.31</v>
      </c>
      <c r="K627" s="34">
        <v>3785.58</v>
      </c>
      <c r="L627" s="33" t="s">
        <v>14</v>
      </c>
      <c r="M627" s="34">
        <f t="shared" si="91"/>
        <v>21.030285714285714</v>
      </c>
      <c r="N627" s="27">
        <v>157.5</v>
      </c>
      <c r="O627" s="34">
        <f t="shared" si="92"/>
        <v>814.92357142857145</v>
      </c>
      <c r="P627" s="35">
        <f t="shared" si="86"/>
        <v>81.489999999999995</v>
      </c>
      <c r="Q627" s="34">
        <f t="shared" si="93"/>
        <v>1222.3853571428572</v>
      </c>
      <c r="R627" s="35"/>
    </row>
    <row r="628" spans="1:18" x14ac:dyDescent="0.3">
      <c r="A628" s="32">
        <v>43763</v>
      </c>
      <c r="B628" s="33" t="s">
        <v>51</v>
      </c>
      <c r="C628" s="34">
        <v>1944</v>
      </c>
      <c r="D628" s="33">
        <v>80</v>
      </c>
      <c r="E628" s="33">
        <v>262.98</v>
      </c>
      <c r="F628" s="33">
        <v>1944</v>
      </c>
      <c r="G628" s="34">
        <v>262.98</v>
      </c>
      <c r="H628" s="34">
        <v>0</v>
      </c>
      <c r="I628" s="34">
        <v>2206.98</v>
      </c>
      <c r="J628" s="34">
        <v>365.56</v>
      </c>
      <c r="K628" s="34">
        <v>2572.54</v>
      </c>
      <c r="L628" s="33" t="s">
        <v>14</v>
      </c>
      <c r="M628" s="34">
        <f t="shared" si="91"/>
        <v>20.434999999999999</v>
      </c>
      <c r="N628" s="27">
        <v>108</v>
      </c>
      <c r="O628" s="34">
        <f t="shared" si="92"/>
        <v>286.08999999999997</v>
      </c>
      <c r="P628" s="35">
        <f t="shared" si="86"/>
        <v>28.61</v>
      </c>
      <c r="Q628" s="34">
        <f t="shared" si="93"/>
        <v>429.13499999999999</v>
      </c>
      <c r="R628" s="35"/>
    </row>
    <row r="629" spans="1:18" x14ac:dyDescent="0.3">
      <c r="A629" s="32">
        <v>43777</v>
      </c>
      <c r="B629" s="33" t="s">
        <v>51</v>
      </c>
      <c r="C629" s="34">
        <v>2322</v>
      </c>
      <c r="D629" s="33">
        <v>80</v>
      </c>
      <c r="E629" s="33">
        <v>349.8</v>
      </c>
      <c r="F629" s="33">
        <v>2322</v>
      </c>
      <c r="G629" s="34">
        <v>349.8</v>
      </c>
      <c r="H629" s="34">
        <v>0</v>
      </c>
      <c r="I629" s="34">
        <v>2671.8</v>
      </c>
      <c r="J629" s="34">
        <v>408.76</v>
      </c>
      <c r="K629" s="34">
        <v>3080.56</v>
      </c>
      <c r="L629" s="33" t="s">
        <v>14</v>
      </c>
      <c r="M629" s="34">
        <f t="shared" si="91"/>
        <v>20.711627906976744</v>
      </c>
      <c r="N629" s="27">
        <v>129</v>
      </c>
      <c r="O629" s="34">
        <f t="shared" si="92"/>
        <v>507.43488372093026</v>
      </c>
      <c r="P629" s="35">
        <f t="shared" si="86"/>
        <v>45.67</v>
      </c>
      <c r="Q629" s="34">
        <f t="shared" si="93"/>
        <v>761.15232558139542</v>
      </c>
      <c r="R629" s="35"/>
    </row>
    <row r="630" spans="1:18" x14ac:dyDescent="0.3">
      <c r="A630" s="32">
        <v>43791</v>
      </c>
      <c r="B630" s="33" t="s">
        <v>51</v>
      </c>
      <c r="C630" s="34">
        <v>2025</v>
      </c>
      <c r="D630" s="33">
        <v>80</v>
      </c>
      <c r="E630" s="33">
        <v>280.64999999999998</v>
      </c>
      <c r="F630" s="33">
        <v>2025</v>
      </c>
      <c r="G630" s="34">
        <v>280.64999999999998</v>
      </c>
      <c r="H630" s="34">
        <v>0</v>
      </c>
      <c r="I630" s="34">
        <v>2305.65</v>
      </c>
      <c r="J630" s="34">
        <v>374.73</v>
      </c>
      <c r="K630" s="34">
        <v>2680.38</v>
      </c>
      <c r="L630" s="33" t="s">
        <v>14</v>
      </c>
      <c r="M630" s="34">
        <f t="shared" si="91"/>
        <v>20.494666666666667</v>
      </c>
      <c r="N630" s="27">
        <v>112.5</v>
      </c>
      <c r="O630" s="34">
        <f t="shared" si="92"/>
        <v>333.03833333333336</v>
      </c>
      <c r="P630" s="35">
        <f t="shared" si="86"/>
        <v>29.97</v>
      </c>
      <c r="Q630" s="34">
        <f t="shared" si="93"/>
        <v>499.5575</v>
      </c>
      <c r="R630" s="35"/>
    </row>
    <row r="631" spans="1:18" x14ac:dyDescent="0.3">
      <c r="A631" s="32">
        <v>43805</v>
      </c>
      <c r="B631" s="33" t="s">
        <v>51</v>
      </c>
      <c r="C631" s="34">
        <v>1880</v>
      </c>
      <c r="D631" s="36">
        <v>64.5</v>
      </c>
      <c r="E631" s="33">
        <v>249.04</v>
      </c>
      <c r="F631" s="33">
        <v>1880</v>
      </c>
      <c r="G631" s="34">
        <v>249.04</v>
      </c>
      <c r="H631" s="34">
        <v>0</v>
      </c>
      <c r="I631" s="34">
        <v>2129.04</v>
      </c>
      <c r="J631" s="34">
        <v>358.33</v>
      </c>
      <c r="K631" s="34">
        <v>2487.37</v>
      </c>
      <c r="L631" s="33" t="s">
        <v>14</v>
      </c>
      <c r="M631" s="34">
        <f t="shared" si="91"/>
        <v>22.64936170212766</v>
      </c>
      <c r="N631" s="27">
        <v>94</v>
      </c>
      <c r="O631" s="38">
        <f>(M631*0.5)*24.5</f>
        <v>277.45468085106381</v>
      </c>
      <c r="P631" s="35">
        <f t="shared" si="86"/>
        <v>24.97</v>
      </c>
      <c r="Q631" s="34">
        <f t="shared" si="93"/>
        <v>416.18202127659572</v>
      </c>
      <c r="R631" s="35"/>
    </row>
    <row r="632" spans="1:18" x14ac:dyDescent="0.3">
      <c r="A632" s="32">
        <v>43819</v>
      </c>
      <c r="B632" s="33" t="s">
        <v>51</v>
      </c>
      <c r="C632" s="34">
        <v>2110</v>
      </c>
      <c r="D632" s="33">
        <v>80</v>
      </c>
      <c r="E632" s="33">
        <v>299.2</v>
      </c>
      <c r="F632" s="33">
        <v>2110</v>
      </c>
      <c r="G632" s="34">
        <v>299.2</v>
      </c>
      <c r="H632" s="34">
        <v>0</v>
      </c>
      <c r="I632" s="34">
        <v>2409.1999999999998</v>
      </c>
      <c r="J632" s="34">
        <v>384.36</v>
      </c>
      <c r="K632" s="34">
        <v>2793.56</v>
      </c>
      <c r="L632" s="33" t="s">
        <v>14</v>
      </c>
      <c r="M632" s="34">
        <f t="shared" si="91"/>
        <v>22.728301886792451</v>
      </c>
      <c r="N632" s="27">
        <v>106</v>
      </c>
      <c r="O632" s="34">
        <f>((N632-80)*M632)*0.5</f>
        <v>295.46792452830186</v>
      </c>
      <c r="P632" s="35">
        <f t="shared" si="86"/>
        <v>23.64</v>
      </c>
      <c r="Q632" s="34">
        <f t="shared" si="93"/>
        <v>443.2018867924528</v>
      </c>
      <c r="R632" s="35"/>
    </row>
    <row r="633" spans="1:18" x14ac:dyDescent="0.3">
      <c r="A633" s="32">
        <v>43833</v>
      </c>
      <c r="B633" s="33" t="s">
        <v>51</v>
      </c>
      <c r="C633" s="34">
        <v>1750</v>
      </c>
      <c r="D633" s="36">
        <v>50</v>
      </c>
      <c r="E633" s="33">
        <v>216.47</v>
      </c>
      <c r="F633" s="33">
        <v>1750</v>
      </c>
      <c r="G633" s="34">
        <v>216.47</v>
      </c>
      <c r="H633" s="34">
        <v>0</v>
      </c>
      <c r="I633" s="34">
        <v>1966.47</v>
      </c>
      <c r="J633" s="34">
        <v>355.02</v>
      </c>
      <c r="K633" s="34">
        <v>2321.4899999999998</v>
      </c>
      <c r="L633" s="33" t="s">
        <v>14</v>
      </c>
      <c r="M633" s="34">
        <f t="shared" si="91"/>
        <v>22.473942857142859</v>
      </c>
      <c r="N633" s="27">
        <v>87.5</v>
      </c>
      <c r="O633" s="38">
        <f>(M633*0.5)*10</f>
        <v>112.36971428571429</v>
      </c>
      <c r="P633" s="35">
        <f t="shared" si="86"/>
        <v>8.99</v>
      </c>
      <c r="Q633" s="34">
        <f t="shared" si="93"/>
        <v>168.55457142857145</v>
      </c>
      <c r="R633" s="35"/>
    </row>
    <row r="634" spans="1:18" x14ac:dyDescent="0.3">
      <c r="A634" s="32">
        <v>43847</v>
      </c>
      <c r="B634" s="33" t="s">
        <v>51</v>
      </c>
      <c r="C634" s="34">
        <v>1730</v>
      </c>
      <c r="D634" s="33">
        <v>80</v>
      </c>
      <c r="E634" s="33"/>
      <c r="F634" s="33">
        <v>1730</v>
      </c>
      <c r="G634" s="34">
        <v>179.22</v>
      </c>
      <c r="H634" s="34">
        <v>0</v>
      </c>
      <c r="I634" s="34">
        <v>1909.22</v>
      </c>
      <c r="J634" s="34">
        <v>331.64</v>
      </c>
      <c r="K634" s="34">
        <v>2240.86</v>
      </c>
      <c r="L634" s="33" t="s">
        <v>14</v>
      </c>
      <c r="M634" s="34">
        <f t="shared" si="91"/>
        <v>20</v>
      </c>
      <c r="N634" s="27">
        <v>86.5</v>
      </c>
      <c r="O634" s="34">
        <f>((N634-80)*M634)*0.5</f>
        <v>65</v>
      </c>
      <c r="P634" s="35">
        <f t="shared" si="86"/>
        <v>4.55</v>
      </c>
      <c r="Q634" s="34">
        <f t="shared" si="93"/>
        <v>97.5</v>
      </c>
      <c r="R634" s="35"/>
    </row>
    <row r="635" spans="1:18" x14ac:dyDescent="0.3">
      <c r="A635" s="32">
        <v>43861</v>
      </c>
      <c r="B635" s="33" t="s">
        <v>51</v>
      </c>
      <c r="C635" s="34">
        <v>2100</v>
      </c>
      <c r="D635" s="33">
        <v>80</v>
      </c>
      <c r="E635" s="33"/>
      <c r="F635" s="33">
        <v>2100</v>
      </c>
      <c r="G635" s="34">
        <v>240.37</v>
      </c>
      <c r="H635" s="34">
        <v>0</v>
      </c>
      <c r="I635" s="34">
        <v>2340.37</v>
      </c>
      <c r="J635" s="34">
        <v>368.23</v>
      </c>
      <c r="K635" s="34">
        <v>2708.6</v>
      </c>
      <c r="L635" s="33" t="s">
        <v>14</v>
      </c>
      <c r="M635" s="34">
        <f t="shared" si="91"/>
        <v>20</v>
      </c>
      <c r="N635" s="27">
        <v>105</v>
      </c>
      <c r="O635" s="34">
        <f>((N635-80)*M635)*0.5</f>
        <v>250</v>
      </c>
      <c r="P635" s="35">
        <f t="shared" si="86"/>
        <v>17.5</v>
      </c>
      <c r="Q635" s="34">
        <f t="shared" si="93"/>
        <v>375</v>
      </c>
      <c r="R635" s="35"/>
    </row>
    <row r="636" spans="1:18" x14ac:dyDescent="0.3">
      <c r="A636" s="32">
        <v>43875</v>
      </c>
      <c r="B636" s="33" t="s">
        <v>51</v>
      </c>
      <c r="C636" s="34">
        <v>1940</v>
      </c>
      <c r="D636" s="36">
        <v>60</v>
      </c>
      <c r="E636" s="33"/>
      <c r="F636" s="33">
        <v>1940</v>
      </c>
      <c r="G636" s="34">
        <v>202.91</v>
      </c>
      <c r="H636" s="34">
        <v>0</v>
      </c>
      <c r="I636" s="34">
        <v>2142.91</v>
      </c>
      <c r="J636" s="34">
        <v>299.87</v>
      </c>
      <c r="K636" s="34">
        <v>2442.7800000000002</v>
      </c>
      <c r="L636" s="33" t="s">
        <v>14</v>
      </c>
      <c r="M636" s="34">
        <f t="shared" si="91"/>
        <v>20</v>
      </c>
      <c r="N636" s="27">
        <v>97</v>
      </c>
      <c r="O636" s="38">
        <f>(M636*0.5)*20</f>
        <v>200</v>
      </c>
      <c r="P636" s="35">
        <f t="shared" si="86"/>
        <v>12</v>
      </c>
      <c r="Q636" s="34">
        <f t="shared" si="93"/>
        <v>300</v>
      </c>
      <c r="R636" s="35"/>
    </row>
    <row r="637" spans="1:18" x14ac:dyDescent="0.3">
      <c r="A637" s="32">
        <v>43889</v>
      </c>
      <c r="B637" s="33" t="s">
        <v>51</v>
      </c>
      <c r="C637" s="34">
        <v>1880</v>
      </c>
      <c r="D637" s="33">
        <v>80</v>
      </c>
      <c r="E637" s="33"/>
      <c r="F637" s="33">
        <v>1880</v>
      </c>
      <c r="G637" s="34">
        <v>192.17</v>
      </c>
      <c r="H637" s="34">
        <v>0</v>
      </c>
      <c r="I637" s="34">
        <v>2072.17</v>
      </c>
      <c r="J637" s="34">
        <v>287.08</v>
      </c>
      <c r="K637" s="34">
        <v>2359.25</v>
      </c>
      <c r="L637" s="33" t="s">
        <v>14</v>
      </c>
      <c r="M637" s="34">
        <f t="shared" si="91"/>
        <v>20</v>
      </c>
      <c r="N637" s="27">
        <v>94</v>
      </c>
      <c r="O637" s="34">
        <f>((N637-80)*M637)*0.5</f>
        <v>140</v>
      </c>
      <c r="P637" s="35">
        <f t="shared" si="86"/>
        <v>8.4</v>
      </c>
      <c r="Q637" s="34">
        <f t="shared" si="93"/>
        <v>210</v>
      </c>
      <c r="R637" s="35"/>
    </row>
    <row r="638" spans="1:18" x14ac:dyDescent="0.3">
      <c r="A638" s="32">
        <v>43903</v>
      </c>
      <c r="B638" s="33" t="s">
        <v>51</v>
      </c>
      <c r="C638" s="34">
        <v>1870</v>
      </c>
      <c r="D638" s="33">
        <v>80</v>
      </c>
      <c r="E638" s="33"/>
      <c r="F638" s="33">
        <v>1870</v>
      </c>
      <c r="G638" s="34">
        <v>190.37</v>
      </c>
      <c r="H638" s="34">
        <v>0</v>
      </c>
      <c r="I638" s="34">
        <v>2060.37</v>
      </c>
      <c r="J638" s="34">
        <v>286.13</v>
      </c>
      <c r="K638" s="34">
        <v>2346.5</v>
      </c>
      <c r="L638" s="33" t="s">
        <v>14</v>
      </c>
      <c r="M638" s="34">
        <f t="shared" si="91"/>
        <v>20</v>
      </c>
      <c r="N638" s="27">
        <v>93.5</v>
      </c>
      <c r="O638" s="34">
        <f>((N638-80)*M638)*0.5</f>
        <v>135</v>
      </c>
      <c r="P638" s="35">
        <f t="shared" si="86"/>
        <v>6.75</v>
      </c>
      <c r="Q638" s="34">
        <f t="shared" si="93"/>
        <v>202.5</v>
      </c>
      <c r="R638" s="35"/>
    </row>
    <row r="639" spans="1:18" x14ac:dyDescent="0.3">
      <c r="A639" s="32">
        <v>43917</v>
      </c>
      <c r="B639" s="33" t="s">
        <v>51</v>
      </c>
      <c r="C639" s="34">
        <v>1785.86</v>
      </c>
      <c r="D639" s="33">
        <v>86</v>
      </c>
      <c r="E639" s="33"/>
      <c r="F639" s="36">
        <v>2002.5</v>
      </c>
      <c r="G639" s="34">
        <v>216.64</v>
      </c>
      <c r="H639" s="34">
        <v>0</v>
      </c>
      <c r="I639" s="34">
        <v>2002.5</v>
      </c>
      <c r="J639" s="34">
        <v>306.89</v>
      </c>
      <c r="K639" s="34">
        <v>2309.39</v>
      </c>
      <c r="L639" s="33" t="s">
        <v>14</v>
      </c>
      <c r="M639" s="34">
        <f t="shared" si="91"/>
        <v>23.284883720930232</v>
      </c>
      <c r="N639" s="27">
        <v>86</v>
      </c>
      <c r="O639" s="34">
        <f>((N639-80)*M639)*0.5</f>
        <v>69.854651162790702</v>
      </c>
      <c r="P639" s="35">
        <f t="shared" si="86"/>
        <v>3.49</v>
      </c>
      <c r="Q639" s="34">
        <f t="shared" si="93"/>
        <v>104.78197674418605</v>
      </c>
      <c r="R639" s="35"/>
    </row>
    <row r="640" spans="1:18" x14ac:dyDescent="0.3">
      <c r="A640" s="32">
        <v>43931</v>
      </c>
      <c r="B640" s="33" t="s">
        <v>51</v>
      </c>
      <c r="C640" s="34">
        <v>812.03</v>
      </c>
      <c r="D640" s="36">
        <v>24</v>
      </c>
      <c r="E640" s="33"/>
      <c r="F640" s="33">
        <v>900</v>
      </c>
      <c r="G640" s="34">
        <v>87.97</v>
      </c>
      <c r="H640" s="34">
        <v>0</v>
      </c>
      <c r="I640" s="34">
        <v>900</v>
      </c>
      <c r="J640" s="34">
        <v>139.82</v>
      </c>
      <c r="K640" s="34">
        <v>1039.82</v>
      </c>
      <c r="L640" s="33" t="s">
        <v>14</v>
      </c>
      <c r="M640" s="34">
        <f t="shared" si="91"/>
        <v>37.5</v>
      </c>
      <c r="N640" s="27">
        <v>24</v>
      </c>
      <c r="O640" s="34">
        <v>0</v>
      </c>
      <c r="P640" s="35">
        <f t="shared" si="86"/>
        <v>0</v>
      </c>
      <c r="Q640" s="34">
        <f t="shared" si="93"/>
        <v>0</v>
      </c>
      <c r="R640" s="35"/>
    </row>
    <row r="641" spans="1:18" x14ac:dyDescent="0.3">
      <c r="A641" s="37" t="s">
        <v>77</v>
      </c>
      <c r="B641" s="33" t="s">
        <v>51</v>
      </c>
      <c r="C641" s="34">
        <v>500.01</v>
      </c>
      <c r="D641" s="36">
        <v>24.63</v>
      </c>
      <c r="E641" s="33"/>
      <c r="F641" s="33">
        <v>554.17999999999995</v>
      </c>
      <c r="G641" s="34">
        <v>54.17</v>
      </c>
      <c r="H641" s="34">
        <v>0</v>
      </c>
      <c r="I641" s="34">
        <v>554.17999999999995</v>
      </c>
      <c r="J641" s="34">
        <v>88.1</v>
      </c>
      <c r="K641" s="34">
        <v>642.28</v>
      </c>
      <c r="L641" s="33" t="s">
        <v>14</v>
      </c>
      <c r="M641" s="34" t="e">
        <f t="shared" si="91"/>
        <v>#DIV/0!</v>
      </c>
      <c r="N641" s="27"/>
      <c r="O641" s="34" t="e">
        <f>((N641-80)*M641)*0.5</f>
        <v>#DIV/0!</v>
      </c>
      <c r="P641" s="35" t="e">
        <f t="shared" ref="P641:P704" si="94">ROUND(((ROUNDDOWN(($T$1-A641)/30,0))/100)*O641,2)</f>
        <v>#VALUE!</v>
      </c>
      <c r="Q641" s="34" t="e">
        <f t="shared" si="93"/>
        <v>#DIV/0!</v>
      </c>
      <c r="R641" s="35"/>
    </row>
    <row r="642" spans="1:18" x14ac:dyDescent="0.3">
      <c r="A642" s="37" t="s">
        <v>77</v>
      </c>
      <c r="B642" s="33" t="s">
        <v>51</v>
      </c>
      <c r="C642" s="34">
        <v>700.4</v>
      </c>
      <c r="D642" s="36">
        <v>34.5</v>
      </c>
      <c r="E642" s="33"/>
      <c r="F642" s="33">
        <v>776.25</v>
      </c>
      <c r="G642" s="34">
        <v>75.849999999999994</v>
      </c>
      <c r="H642" s="34">
        <v>0</v>
      </c>
      <c r="I642" s="34">
        <v>776.25</v>
      </c>
      <c r="J642" s="34">
        <v>123.38</v>
      </c>
      <c r="K642" s="34">
        <v>899.63</v>
      </c>
      <c r="L642" s="33" t="s">
        <v>14</v>
      </c>
      <c r="M642" s="34" t="e">
        <f t="shared" si="91"/>
        <v>#DIV/0!</v>
      </c>
      <c r="N642" s="27"/>
      <c r="O642" s="34" t="e">
        <f>((N642-80)*M642)*0.5</f>
        <v>#DIV/0!</v>
      </c>
      <c r="P642" s="35" t="e">
        <f t="shared" si="94"/>
        <v>#VALUE!</v>
      </c>
      <c r="Q642" s="34" t="e">
        <f t="shared" si="93"/>
        <v>#DIV/0!</v>
      </c>
      <c r="R642" s="35"/>
    </row>
    <row r="643" spans="1:18" x14ac:dyDescent="0.3">
      <c r="A643" s="37" t="s">
        <v>77</v>
      </c>
      <c r="B643" s="33" t="s">
        <v>51</v>
      </c>
      <c r="C643" s="34">
        <v>300</v>
      </c>
      <c r="D643" s="36">
        <v>14.78</v>
      </c>
      <c r="E643" s="33"/>
      <c r="F643" s="33">
        <v>332.5</v>
      </c>
      <c r="G643" s="34">
        <v>32.5</v>
      </c>
      <c r="H643" s="34">
        <v>0</v>
      </c>
      <c r="I643" s="34">
        <v>332.5</v>
      </c>
      <c r="J643" s="34">
        <v>52.86</v>
      </c>
      <c r="K643" s="34">
        <v>385.36</v>
      </c>
      <c r="L643" s="33" t="s">
        <v>14</v>
      </c>
      <c r="M643" s="34" t="e">
        <f t="shared" si="91"/>
        <v>#DIV/0!</v>
      </c>
      <c r="N643" s="27"/>
      <c r="O643" s="34" t="e">
        <f>((N643-80)*M643)*0.5</f>
        <v>#DIV/0!</v>
      </c>
      <c r="P643" s="35" t="e">
        <f t="shared" si="94"/>
        <v>#VALUE!</v>
      </c>
      <c r="Q643" s="34" t="e">
        <f t="shared" si="93"/>
        <v>#DIV/0!</v>
      </c>
      <c r="R643" s="35"/>
    </row>
    <row r="644" spans="1:18" x14ac:dyDescent="0.3">
      <c r="A644" s="32">
        <v>43987</v>
      </c>
      <c r="B644" s="33" t="s">
        <v>51</v>
      </c>
      <c r="C644" s="34">
        <v>649.63</v>
      </c>
      <c r="D644" s="36">
        <v>32.5</v>
      </c>
      <c r="E644" s="33"/>
      <c r="F644" s="33">
        <v>720</v>
      </c>
      <c r="G644" s="34">
        <v>70.37</v>
      </c>
      <c r="H644" s="34">
        <v>0</v>
      </c>
      <c r="I644" s="34">
        <v>720</v>
      </c>
      <c r="J644" s="34">
        <v>114.46</v>
      </c>
      <c r="K644" s="34">
        <v>834.46</v>
      </c>
      <c r="L644" s="33" t="s">
        <v>14</v>
      </c>
      <c r="M644" s="34">
        <f t="shared" si="91"/>
        <v>22.153846153846153</v>
      </c>
      <c r="N644" s="27">
        <v>32.5</v>
      </c>
      <c r="O644" s="34">
        <v>0</v>
      </c>
      <c r="P644" s="35">
        <f t="shared" si="94"/>
        <v>0</v>
      </c>
      <c r="Q644" s="34">
        <f t="shared" si="93"/>
        <v>0</v>
      </c>
      <c r="R644" s="35"/>
    </row>
    <row r="645" spans="1:18" x14ac:dyDescent="0.3">
      <c r="A645" s="32">
        <v>43995</v>
      </c>
      <c r="B645" s="33" t="s">
        <v>51</v>
      </c>
      <c r="C645" s="34"/>
      <c r="D645" s="39">
        <v>71</v>
      </c>
      <c r="E645" s="33"/>
      <c r="F645" s="33"/>
      <c r="G645" s="34"/>
      <c r="H645" s="34"/>
      <c r="I645" s="34"/>
      <c r="J645" s="34"/>
      <c r="K645" s="34"/>
      <c r="L645" s="33"/>
      <c r="M645" s="34"/>
      <c r="N645" s="27"/>
      <c r="O645" s="34"/>
      <c r="P645" s="35">
        <f t="shared" si="94"/>
        <v>0</v>
      </c>
      <c r="Q645" s="34"/>
      <c r="R645" s="35"/>
    </row>
    <row r="646" spans="1:18" x14ac:dyDescent="0.3">
      <c r="A646" s="32">
        <v>44009</v>
      </c>
      <c r="B646" s="33" t="s">
        <v>51</v>
      </c>
      <c r="C646" s="34"/>
      <c r="D646" s="39">
        <v>84.5</v>
      </c>
      <c r="E646" s="33"/>
      <c r="F646" s="33"/>
      <c r="G646" s="34"/>
      <c r="H646" s="34"/>
      <c r="I646" s="34"/>
      <c r="J646" s="34"/>
      <c r="K646" s="34"/>
      <c r="L646" s="33"/>
      <c r="M646" s="34"/>
      <c r="N646" s="27"/>
      <c r="O646" s="34"/>
      <c r="P646" s="35">
        <f t="shared" si="94"/>
        <v>0</v>
      </c>
      <c r="Q646" s="34"/>
      <c r="R646" s="35"/>
    </row>
    <row r="647" spans="1:18" x14ac:dyDescent="0.3">
      <c r="A647" s="32">
        <v>44023</v>
      </c>
      <c r="B647" s="33" t="s">
        <v>51</v>
      </c>
      <c r="C647" s="34"/>
      <c r="D647" s="39">
        <v>37.5</v>
      </c>
      <c r="E647" s="33"/>
      <c r="F647" s="33"/>
      <c r="G647" s="34"/>
      <c r="H647" s="34"/>
      <c r="I647" s="34"/>
      <c r="J647" s="34"/>
      <c r="K647" s="34"/>
      <c r="L647" s="33"/>
      <c r="M647" s="34"/>
      <c r="N647" s="27"/>
      <c r="O647" s="34"/>
      <c r="P647" s="35">
        <f t="shared" si="94"/>
        <v>0</v>
      </c>
      <c r="Q647" s="34"/>
      <c r="R647" s="35"/>
    </row>
    <row r="648" spans="1:18" x14ac:dyDescent="0.3">
      <c r="A648" s="32">
        <v>43889</v>
      </c>
      <c r="B648" s="33" t="s">
        <v>52</v>
      </c>
      <c r="C648" s="34">
        <v>1665</v>
      </c>
      <c r="D648" s="33">
        <v>80</v>
      </c>
      <c r="E648" s="33"/>
      <c r="F648" s="33">
        <v>1665</v>
      </c>
      <c r="G648" s="34">
        <v>165.25</v>
      </c>
      <c r="H648" s="34">
        <v>0</v>
      </c>
      <c r="I648" s="34">
        <v>1830.25</v>
      </c>
      <c r="J648" s="34">
        <v>277.08</v>
      </c>
      <c r="K648" s="34">
        <v>2107.33</v>
      </c>
      <c r="L648" s="33">
        <v>100197</v>
      </c>
      <c r="M648" s="34">
        <f t="shared" ref="M648:M655" si="95">(E648+F648)/N648</f>
        <v>18</v>
      </c>
      <c r="N648" s="27">
        <v>92.5</v>
      </c>
      <c r="O648" s="34">
        <f>((N648-80)*M648)*0.5</f>
        <v>112.5</v>
      </c>
      <c r="P648" s="35">
        <f t="shared" si="94"/>
        <v>6.75</v>
      </c>
      <c r="Q648" s="34">
        <f t="shared" ref="Q648:Q655" si="96">O648*1.5</f>
        <v>168.75</v>
      </c>
      <c r="R648" s="35">
        <v>409.55</v>
      </c>
    </row>
    <row r="649" spans="1:18" x14ac:dyDescent="0.3">
      <c r="A649" s="32">
        <v>43903</v>
      </c>
      <c r="B649" s="33" t="s">
        <v>52</v>
      </c>
      <c r="C649" s="34">
        <v>1656</v>
      </c>
      <c r="D649" s="36">
        <v>64</v>
      </c>
      <c r="E649" s="33"/>
      <c r="F649" s="33">
        <v>1656</v>
      </c>
      <c r="G649" s="34">
        <v>164.54</v>
      </c>
      <c r="H649" s="34">
        <v>0</v>
      </c>
      <c r="I649" s="34">
        <v>1820.54</v>
      </c>
      <c r="J649" s="34">
        <v>276.2</v>
      </c>
      <c r="K649" s="34">
        <v>2096.7399999999998</v>
      </c>
      <c r="L649" s="33">
        <v>100201</v>
      </c>
      <c r="M649" s="34">
        <f t="shared" si="95"/>
        <v>25.875</v>
      </c>
      <c r="N649" s="27">
        <v>64</v>
      </c>
      <c r="O649" s="34">
        <v>0</v>
      </c>
      <c r="P649" s="35">
        <f t="shared" si="94"/>
        <v>0</v>
      </c>
      <c r="Q649" s="34">
        <f t="shared" si="96"/>
        <v>0</v>
      </c>
      <c r="R649" s="35"/>
    </row>
    <row r="650" spans="1:18" x14ac:dyDescent="0.3">
      <c r="A650" s="32">
        <v>43917</v>
      </c>
      <c r="B650" s="33" t="s">
        <v>52</v>
      </c>
      <c r="C650" s="34">
        <v>1616.21</v>
      </c>
      <c r="D650" s="33">
        <v>85</v>
      </c>
      <c r="E650" s="33"/>
      <c r="F650" s="36">
        <v>1793.75</v>
      </c>
      <c r="G650" s="34">
        <v>177.54</v>
      </c>
      <c r="H650" s="34">
        <v>0</v>
      </c>
      <c r="I650" s="34">
        <v>1793.75</v>
      </c>
      <c r="J650" s="34">
        <v>296.83999999999997</v>
      </c>
      <c r="K650" s="34">
        <v>2090.59</v>
      </c>
      <c r="L650" s="33">
        <v>100204</v>
      </c>
      <c r="M650" s="34">
        <f t="shared" si="95"/>
        <v>21.102941176470587</v>
      </c>
      <c r="N650" s="27">
        <v>85</v>
      </c>
      <c r="O650" s="34">
        <f t="shared" ref="O650:O655" si="97">((N650-80)*M650)*0.5</f>
        <v>52.757352941176464</v>
      </c>
      <c r="P650" s="35">
        <f t="shared" si="94"/>
        <v>2.64</v>
      </c>
      <c r="Q650" s="34">
        <f t="shared" si="96"/>
        <v>79.136029411764696</v>
      </c>
      <c r="R650" s="35"/>
    </row>
    <row r="651" spans="1:18" x14ac:dyDescent="0.3">
      <c r="A651" s="37" t="s">
        <v>77</v>
      </c>
      <c r="B651" s="33" t="s">
        <v>52</v>
      </c>
      <c r="C651" s="34">
        <v>738.36</v>
      </c>
      <c r="D651" s="33">
        <v>40</v>
      </c>
      <c r="E651" s="33"/>
      <c r="F651" s="33">
        <v>820</v>
      </c>
      <c r="G651" s="34">
        <v>81.64</v>
      </c>
      <c r="H651" s="34">
        <v>0</v>
      </c>
      <c r="I651" s="34">
        <v>820</v>
      </c>
      <c r="J651" s="34">
        <v>137.30000000000001</v>
      </c>
      <c r="K651" s="34">
        <v>957.3</v>
      </c>
      <c r="L651" s="33">
        <v>100207</v>
      </c>
      <c r="M651" s="34" t="e">
        <f t="shared" si="95"/>
        <v>#DIV/0!</v>
      </c>
      <c r="N651" s="27"/>
      <c r="O651" s="34" t="e">
        <f t="shared" si="97"/>
        <v>#DIV/0!</v>
      </c>
      <c r="P651" s="35" t="e">
        <f t="shared" si="94"/>
        <v>#VALUE!</v>
      </c>
      <c r="Q651" s="34" t="e">
        <f t="shared" si="96"/>
        <v>#DIV/0!</v>
      </c>
      <c r="R651" s="35"/>
    </row>
    <row r="652" spans="1:18" x14ac:dyDescent="0.3">
      <c r="A652" s="37" t="s">
        <v>77</v>
      </c>
      <c r="B652" s="33" t="s">
        <v>52</v>
      </c>
      <c r="C652" s="34">
        <v>500.04</v>
      </c>
      <c r="D652" s="33">
        <v>27.09</v>
      </c>
      <c r="E652" s="33"/>
      <c r="F652" s="33">
        <v>555.35</v>
      </c>
      <c r="G652" s="34">
        <v>55.31</v>
      </c>
      <c r="H652" s="34">
        <v>0</v>
      </c>
      <c r="I652" s="34">
        <v>555.35</v>
      </c>
      <c r="J652" s="34">
        <v>96.03</v>
      </c>
      <c r="K652" s="34">
        <v>651.38</v>
      </c>
      <c r="L652" s="33">
        <v>100210</v>
      </c>
      <c r="M652" s="34" t="e">
        <f t="shared" si="95"/>
        <v>#DIV/0!</v>
      </c>
      <c r="N652" s="27"/>
      <c r="O652" s="34" t="e">
        <f t="shared" si="97"/>
        <v>#DIV/0!</v>
      </c>
      <c r="P652" s="35" t="e">
        <f t="shared" si="94"/>
        <v>#VALUE!</v>
      </c>
      <c r="Q652" s="34" t="e">
        <f t="shared" si="96"/>
        <v>#DIV/0!</v>
      </c>
      <c r="R652" s="35"/>
    </row>
    <row r="653" spans="1:18" x14ac:dyDescent="0.3">
      <c r="A653" s="37" t="s">
        <v>77</v>
      </c>
      <c r="B653" s="33" t="s">
        <v>52</v>
      </c>
      <c r="C653" s="34">
        <v>700.06</v>
      </c>
      <c r="D653" s="33">
        <v>37.92</v>
      </c>
      <c r="E653" s="33"/>
      <c r="F653" s="33">
        <v>777.46</v>
      </c>
      <c r="G653" s="34">
        <v>77.400000000000006</v>
      </c>
      <c r="H653" s="34">
        <v>0</v>
      </c>
      <c r="I653" s="34">
        <v>777.46</v>
      </c>
      <c r="J653" s="34">
        <v>132.78</v>
      </c>
      <c r="K653" s="34">
        <v>910.24</v>
      </c>
      <c r="L653" s="33">
        <v>100214</v>
      </c>
      <c r="M653" s="34" t="e">
        <f t="shared" si="95"/>
        <v>#DIV/0!</v>
      </c>
      <c r="N653" s="27"/>
      <c r="O653" s="34" t="e">
        <f t="shared" si="97"/>
        <v>#DIV/0!</v>
      </c>
      <c r="P653" s="35" t="e">
        <f t="shared" si="94"/>
        <v>#VALUE!</v>
      </c>
      <c r="Q653" s="34" t="e">
        <f t="shared" si="96"/>
        <v>#DIV/0!</v>
      </c>
      <c r="R653" s="35"/>
    </row>
    <row r="654" spans="1:18" x14ac:dyDescent="0.3">
      <c r="A654" s="32">
        <v>43973</v>
      </c>
      <c r="B654" s="33" t="s">
        <v>52</v>
      </c>
      <c r="C654" s="34">
        <v>1476.72</v>
      </c>
      <c r="D654" s="33">
        <v>80</v>
      </c>
      <c r="E654" s="33"/>
      <c r="F654" s="33">
        <v>1640</v>
      </c>
      <c r="G654" s="34">
        <v>163.28</v>
      </c>
      <c r="H654" s="34">
        <v>0</v>
      </c>
      <c r="I654" s="34">
        <v>1640</v>
      </c>
      <c r="J654" s="34">
        <v>273.68</v>
      </c>
      <c r="K654" s="34">
        <v>1913.68</v>
      </c>
      <c r="L654" s="33">
        <v>100217</v>
      </c>
      <c r="M654" s="34">
        <f t="shared" si="95"/>
        <v>20.5</v>
      </c>
      <c r="N654" s="27">
        <v>80</v>
      </c>
      <c r="O654" s="34">
        <f t="shared" si="97"/>
        <v>0</v>
      </c>
      <c r="P654" s="35">
        <f t="shared" si="94"/>
        <v>0</v>
      </c>
      <c r="Q654" s="34">
        <f t="shared" si="96"/>
        <v>0</v>
      </c>
      <c r="R654" s="35"/>
    </row>
    <row r="655" spans="1:18" x14ac:dyDescent="0.3">
      <c r="A655" s="32">
        <v>43987</v>
      </c>
      <c r="B655" s="33" t="s">
        <v>52</v>
      </c>
      <c r="C655" s="34">
        <v>2114.66</v>
      </c>
      <c r="D655" s="33">
        <v>96</v>
      </c>
      <c r="E655" s="33"/>
      <c r="F655" s="36">
        <v>2340</v>
      </c>
      <c r="G655" s="34">
        <v>225.34</v>
      </c>
      <c r="H655" s="34">
        <v>0</v>
      </c>
      <c r="I655" s="34">
        <v>2340</v>
      </c>
      <c r="J655" s="34">
        <v>357.36</v>
      </c>
      <c r="K655" s="34">
        <v>2697.36</v>
      </c>
      <c r="L655" s="33">
        <v>100220</v>
      </c>
      <c r="M655" s="34">
        <f t="shared" si="95"/>
        <v>24.248704663212436</v>
      </c>
      <c r="N655" s="27">
        <v>96.5</v>
      </c>
      <c r="O655" s="34">
        <f t="shared" si="97"/>
        <v>200.05181347150261</v>
      </c>
      <c r="P655" s="35">
        <f t="shared" si="94"/>
        <v>4</v>
      </c>
      <c r="Q655" s="34">
        <f t="shared" si="96"/>
        <v>300.07772020725395</v>
      </c>
      <c r="R655" s="35"/>
    </row>
    <row r="656" spans="1:18" x14ac:dyDescent="0.3">
      <c r="A656" s="32">
        <v>43995</v>
      </c>
      <c r="B656" s="33" t="s">
        <v>52</v>
      </c>
      <c r="C656" s="34"/>
      <c r="D656" s="31">
        <v>52</v>
      </c>
      <c r="E656" s="33"/>
      <c r="F656" s="33"/>
      <c r="G656" s="34"/>
      <c r="H656" s="34"/>
      <c r="I656" s="34"/>
      <c r="J656" s="34"/>
      <c r="K656" s="34"/>
      <c r="L656" s="33"/>
      <c r="M656" s="34"/>
      <c r="N656" s="27"/>
      <c r="O656" s="34"/>
      <c r="P656" s="35">
        <f t="shared" si="94"/>
        <v>0</v>
      </c>
      <c r="Q656" s="34"/>
      <c r="R656" s="35"/>
    </row>
    <row r="657" spans="1:18" x14ac:dyDescent="0.3">
      <c r="A657" s="32">
        <v>44009</v>
      </c>
      <c r="B657" s="33" t="s">
        <v>52</v>
      </c>
      <c r="C657" s="34"/>
      <c r="D657" s="31">
        <v>97.5</v>
      </c>
      <c r="E657" s="33"/>
      <c r="F657" s="33"/>
      <c r="G657" s="34"/>
      <c r="H657" s="34"/>
      <c r="I657" s="34"/>
      <c r="J657" s="34"/>
      <c r="K657" s="34"/>
      <c r="L657" s="33"/>
      <c r="M657" s="34"/>
      <c r="N657" s="27"/>
      <c r="O657" s="34"/>
      <c r="P657" s="35">
        <f t="shared" si="94"/>
        <v>0</v>
      </c>
      <c r="Q657" s="34"/>
      <c r="R657" s="35"/>
    </row>
    <row r="658" spans="1:18" x14ac:dyDescent="0.3">
      <c r="A658" s="32">
        <v>44023</v>
      </c>
      <c r="B658" s="33" t="s">
        <v>52</v>
      </c>
      <c r="C658" s="34"/>
      <c r="D658" s="31">
        <v>74</v>
      </c>
      <c r="E658" s="33"/>
      <c r="F658" s="33"/>
      <c r="G658" s="34"/>
      <c r="H658" s="34"/>
      <c r="I658" s="34"/>
      <c r="J658" s="34"/>
      <c r="K658" s="34"/>
      <c r="L658" s="33"/>
      <c r="M658" s="34"/>
      <c r="N658" s="27"/>
      <c r="O658" s="34"/>
      <c r="P658" s="35">
        <f t="shared" si="94"/>
        <v>0</v>
      </c>
      <c r="Q658" s="34"/>
      <c r="R658" s="35"/>
    </row>
    <row r="659" spans="1:18" x14ac:dyDescent="0.3">
      <c r="A659" s="32">
        <v>43875</v>
      </c>
      <c r="B659" s="33" t="s">
        <v>53</v>
      </c>
      <c r="C659" s="34">
        <v>612</v>
      </c>
      <c r="D659" s="36">
        <v>34</v>
      </c>
      <c r="E659" s="33"/>
      <c r="F659" s="33">
        <v>612</v>
      </c>
      <c r="G659" s="34">
        <v>76.180000000000007</v>
      </c>
      <c r="H659" s="34">
        <v>0</v>
      </c>
      <c r="I659" s="34">
        <v>688.18</v>
      </c>
      <c r="J659" s="34">
        <v>108.29</v>
      </c>
      <c r="K659" s="34">
        <v>796.47</v>
      </c>
      <c r="L659" s="33">
        <v>100195</v>
      </c>
      <c r="M659" s="34">
        <f t="shared" ref="M659:M667" si="98">(E659+F659)/N659</f>
        <v>18</v>
      </c>
      <c r="N659" s="27">
        <v>34</v>
      </c>
      <c r="O659" s="34">
        <v>0</v>
      </c>
      <c r="P659" s="35">
        <f t="shared" si="94"/>
        <v>0</v>
      </c>
      <c r="Q659" s="34">
        <f t="shared" ref="Q659:Q667" si="99">O659*1.5</f>
        <v>0</v>
      </c>
      <c r="R659" s="35">
        <v>409.55</v>
      </c>
    </row>
    <row r="660" spans="1:18" x14ac:dyDescent="0.3">
      <c r="A660" s="32">
        <v>43889</v>
      </c>
      <c r="B660" s="33" t="s">
        <v>53</v>
      </c>
      <c r="C660" s="34">
        <v>1669</v>
      </c>
      <c r="D660" s="33">
        <v>80</v>
      </c>
      <c r="E660" s="33"/>
      <c r="F660" s="33">
        <v>1719</v>
      </c>
      <c r="G660" s="34">
        <v>310.98</v>
      </c>
      <c r="H660" s="34">
        <v>50</v>
      </c>
      <c r="I660" s="34">
        <v>2029.98</v>
      </c>
      <c r="J660" s="34">
        <v>282.44</v>
      </c>
      <c r="K660" s="34">
        <v>2312.42</v>
      </c>
      <c r="L660" s="33">
        <v>100198</v>
      </c>
      <c r="M660" s="34">
        <f t="shared" si="98"/>
        <v>18</v>
      </c>
      <c r="N660" s="27">
        <v>95.5</v>
      </c>
      <c r="O660" s="34">
        <f>((N660-80)*M660)*0.5</f>
        <v>139.5</v>
      </c>
      <c r="P660" s="35">
        <f t="shared" si="94"/>
        <v>8.3699999999999992</v>
      </c>
      <c r="Q660" s="34">
        <f t="shared" si="99"/>
        <v>209.25</v>
      </c>
      <c r="R660" s="35"/>
    </row>
    <row r="661" spans="1:18" x14ac:dyDescent="0.3">
      <c r="A661" s="32">
        <v>43903</v>
      </c>
      <c r="B661" s="33" t="s">
        <v>53</v>
      </c>
      <c r="C661" s="34">
        <v>1651</v>
      </c>
      <c r="D661" s="33">
        <v>80</v>
      </c>
      <c r="E661" s="33"/>
      <c r="F661" s="33">
        <v>1701</v>
      </c>
      <c r="G661" s="34">
        <v>307.38</v>
      </c>
      <c r="H661" s="34">
        <v>50</v>
      </c>
      <c r="I661" s="34">
        <v>2008.38</v>
      </c>
      <c r="J661" s="34">
        <v>280.64</v>
      </c>
      <c r="K661" s="34">
        <v>2289.02</v>
      </c>
      <c r="L661" s="33" t="s">
        <v>14</v>
      </c>
      <c r="M661" s="34">
        <f t="shared" si="98"/>
        <v>18</v>
      </c>
      <c r="N661" s="27">
        <v>94.5</v>
      </c>
      <c r="O661" s="34">
        <f>((N661-80)*M661)*0.5</f>
        <v>130.5</v>
      </c>
      <c r="P661" s="35">
        <f t="shared" si="94"/>
        <v>6.53</v>
      </c>
      <c r="Q661" s="34">
        <f t="shared" si="99"/>
        <v>195.75</v>
      </c>
      <c r="R661" s="35"/>
    </row>
    <row r="662" spans="1:18" x14ac:dyDescent="0.3">
      <c r="A662" s="32">
        <v>43917</v>
      </c>
      <c r="B662" s="33" t="s">
        <v>53</v>
      </c>
      <c r="C662" s="34">
        <v>1406.57</v>
      </c>
      <c r="D662" s="36">
        <v>45</v>
      </c>
      <c r="E662" s="33"/>
      <c r="F662" s="36">
        <v>1763</v>
      </c>
      <c r="G662" s="34">
        <v>321.43</v>
      </c>
      <c r="H662" s="34">
        <v>35</v>
      </c>
      <c r="I662" s="34">
        <v>1763</v>
      </c>
      <c r="J662" s="34">
        <v>292.41000000000003</v>
      </c>
      <c r="K662" s="34">
        <v>2055.41</v>
      </c>
      <c r="L662" s="33" t="s">
        <v>14</v>
      </c>
      <c r="M662" s="34">
        <f t="shared" si="98"/>
        <v>20.988095238095237</v>
      </c>
      <c r="N662" s="27">
        <v>84</v>
      </c>
      <c r="O662" s="38">
        <f>(M662*0.5)*5</f>
        <v>52.470238095238095</v>
      </c>
      <c r="P662" s="35">
        <f t="shared" si="94"/>
        <v>2.62</v>
      </c>
      <c r="Q662" s="34">
        <f t="shared" si="99"/>
        <v>78.705357142857139</v>
      </c>
      <c r="R662" s="35"/>
    </row>
    <row r="663" spans="1:18" x14ac:dyDescent="0.3">
      <c r="A663" s="32">
        <v>43931</v>
      </c>
      <c r="B663" s="33" t="s">
        <v>53</v>
      </c>
      <c r="C663" s="34">
        <v>738.36</v>
      </c>
      <c r="D663" s="36">
        <v>24</v>
      </c>
      <c r="E663" s="33"/>
      <c r="F663" s="33">
        <v>820</v>
      </c>
      <c r="G663" s="34">
        <v>81.64</v>
      </c>
      <c r="H663" s="34">
        <v>0</v>
      </c>
      <c r="I663" s="34">
        <v>820</v>
      </c>
      <c r="J663" s="34">
        <v>137.30000000000001</v>
      </c>
      <c r="K663" s="34">
        <v>957.3</v>
      </c>
      <c r="L663" s="33" t="s">
        <v>14</v>
      </c>
      <c r="M663" s="34">
        <f t="shared" si="98"/>
        <v>34.166666666666664</v>
      </c>
      <c r="N663" s="27">
        <v>24</v>
      </c>
      <c r="O663" s="34">
        <v>0</v>
      </c>
      <c r="P663" s="35">
        <f t="shared" si="94"/>
        <v>0</v>
      </c>
      <c r="Q663" s="34">
        <f t="shared" si="99"/>
        <v>0</v>
      </c>
      <c r="R663" s="35"/>
    </row>
    <row r="664" spans="1:18" x14ac:dyDescent="0.3">
      <c r="A664" s="37" t="s">
        <v>77</v>
      </c>
      <c r="B664" s="33" t="s">
        <v>53</v>
      </c>
      <c r="C664" s="34">
        <v>500.06</v>
      </c>
      <c r="D664" s="33">
        <v>27.09</v>
      </c>
      <c r="E664" s="33"/>
      <c r="F664" s="33">
        <v>555.35</v>
      </c>
      <c r="G664" s="34">
        <v>55.29</v>
      </c>
      <c r="H664" s="34">
        <v>0</v>
      </c>
      <c r="I664" s="34">
        <v>555.35</v>
      </c>
      <c r="J664" s="34">
        <v>94.99</v>
      </c>
      <c r="K664" s="34">
        <v>650.34</v>
      </c>
      <c r="L664" s="33" t="s">
        <v>14</v>
      </c>
      <c r="M664" s="34" t="e">
        <f t="shared" si="98"/>
        <v>#DIV/0!</v>
      </c>
      <c r="N664" s="27"/>
      <c r="O664" s="34" t="e">
        <f>((N664-80)*M664)*0.5</f>
        <v>#DIV/0!</v>
      </c>
      <c r="P664" s="35" t="e">
        <f t="shared" si="94"/>
        <v>#VALUE!</v>
      </c>
      <c r="Q664" s="34" t="e">
        <f t="shared" si="99"/>
        <v>#DIV/0!</v>
      </c>
      <c r="R664" s="35"/>
    </row>
    <row r="665" spans="1:18" x14ac:dyDescent="0.3">
      <c r="A665" s="37" t="s">
        <v>77</v>
      </c>
      <c r="B665" s="33" t="s">
        <v>53</v>
      </c>
      <c r="C665" s="34">
        <v>700.06</v>
      </c>
      <c r="D665" s="33">
        <v>37.92</v>
      </c>
      <c r="E665" s="33"/>
      <c r="F665" s="33">
        <v>777.46</v>
      </c>
      <c r="G665" s="34">
        <v>77.400000000000006</v>
      </c>
      <c r="H665" s="34">
        <v>0</v>
      </c>
      <c r="I665" s="34">
        <v>777.46</v>
      </c>
      <c r="J665" s="34">
        <v>129.72</v>
      </c>
      <c r="K665" s="34">
        <v>907.18</v>
      </c>
      <c r="L665" s="33" t="s">
        <v>14</v>
      </c>
      <c r="M665" s="34" t="e">
        <f t="shared" si="98"/>
        <v>#DIV/0!</v>
      </c>
      <c r="N665" s="27"/>
      <c r="O665" s="34" t="e">
        <f>((N665-80)*M665)*0.5</f>
        <v>#DIV/0!</v>
      </c>
      <c r="P665" s="35" t="e">
        <f t="shared" si="94"/>
        <v>#VALUE!</v>
      </c>
      <c r="Q665" s="34" t="e">
        <f t="shared" si="99"/>
        <v>#DIV/0!</v>
      </c>
      <c r="R665" s="35"/>
    </row>
    <row r="666" spans="1:18" x14ac:dyDescent="0.3">
      <c r="A666" s="32">
        <v>43973</v>
      </c>
      <c r="B666" s="33" t="s">
        <v>53</v>
      </c>
      <c r="C666" s="34">
        <v>738.36</v>
      </c>
      <c r="D666" s="36">
        <v>40</v>
      </c>
      <c r="E666" s="33"/>
      <c r="F666" s="33">
        <v>820</v>
      </c>
      <c r="G666" s="34">
        <v>81.64</v>
      </c>
      <c r="H666" s="34">
        <v>0</v>
      </c>
      <c r="I666" s="34">
        <v>820</v>
      </c>
      <c r="J666" s="34">
        <v>136.84</v>
      </c>
      <c r="K666" s="34">
        <v>956.84</v>
      </c>
      <c r="L666" s="33" t="s">
        <v>14</v>
      </c>
      <c r="M666" s="34">
        <f t="shared" si="98"/>
        <v>20.5</v>
      </c>
      <c r="N666" s="27">
        <v>40</v>
      </c>
      <c r="O666" s="34">
        <v>0</v>
      </c>
      <c r="P666" s="35">
        <f t="shared" si="94"/>
        <v>0</v>
      </c>
      <c r="Q666" s="34">
        <f t="shared" si="99"/>
        <v>0</v>
      </c>
      <c r="R666" s="35"/>
    </row>
    <row r="667" spans="1:18" x14ac:dyDescent="0.3">
      <c r="A667" s="32">
        <v>43987</v>
      </c>
      <c r="B667" s="33" t="s">
        <v>53</v>
      </c>
      <c r="C667" s="34">
        <v>1471.8</v>
      </c>
      <c r="D667" s="36">
        <v>72</v>
      </c>
      <c r="E667" s="33"/>
      <c r="F667" s="33">
        <v>1631.25</v>
      </c>
      <c r="G667" s="34">
        <v>159.44999999999999</v>
      </c>
      <c r="H667" s="34">
        <v>0</v>
      </c>
      <c r="I667" s="34">
        <v>1631.25</v>
      </c>
      <c r="J667" s="34">
        <v>259.31</v>
      </c>
      <c r="K667" s="34">
        <v>1890.56</v>
      </c>
      <c r="L667" s="33" t="s">
        <v>14</v>
      </c>
      <c r="M667" s="34">
        <f t="shared" si="98"/>
        <v>22.65625</v>
      </c>
      <c r="N667" s="27">
        <v>72</v>
      </c>
      <c r="O667" s="34">
        <v>0</v>
      </c>
      <c r="P667" s="35">
        <f t="shared" si="94"/>
        <v>0</v>
      </c>
      <c r="Q667" s="34">
        <f t="shared" si="99"/>
        <v>0</v>
      </c>
      <c r="R667" s="35"/>
    </row>
    <row r="668" spans="1:18" x14ac:dyDescent="0.3">
      <c r="A668" s="32">
        <v>43995</v>
      </c>
      <c r="B668" s="33" t="s">
        <v>53</v>
      </c>
      <c r="C668" s="34"/>
      <c r="D668" s="31">
        <v>80</v>
      </c>
      <c r="E668" s="33"/>
      <c r="F668" s="33"/>
      <c r="G668" s="34"/>
      <c r="H668" s="34"/>
      <c r="I668" s="34"/>
      <c r="J668" s="34"/>
      <c r="K668" s="34"/>
      <c r="L668" s="33"/>
      <c r="M668" s="34"/>
      <c r="N668" s="27"/>
      <c r="O668" s="34"/>
      <c r="P668" s="35">
        <f t="shared" si="94"/>
        <v>0</v>
      </c>
      <c r="Q668" s="34"/>
      <c r="R668" s="35"/>
    </row>
    <row r="669" spans="1:18" x14ac:dyDescent="0.3">
      <c r="A669" s="32">
        <v>44009</v>
      </c>
      <c r="B669" s="33" t="s">
        <v>53</v>
      </c>
      <c r="C669" s="34"/>
      <c r="D669" s="31">
        <v>94</v>
      </c>
      <c r="E669" s="33"/>
      <c r="F669" s="33"/>
      <c r="G669" s="34"/>
      <c r="H669" s="34"/>
      <c r="I669" s="34"/>
      <c r="J669" s="34"/>
      <c r="K669" s="34"/>
      <c r="L669" s="33"/>
      <c r="M669" s="34"/>
      <c r="N669" s="27"/>
      <c r="O669" s="34"/>
      <c r="P669" s="35">
        <f t="shared" si="94"/>
        <v>0</v>
      </c>
      <c r="Q669" s="34"/>
      <c r="R669" s="35"/>
    </row>
    <row r="670" spans="1:18" x14ac:dyDescent="0.3">
      <c r="A670" s="32">
        <v>44023</v>
      </c>
      <c r="B670" s="33" t="s">
        <v>53</v>
      </c>
      <c r="C670" s="34"/>
      <c r="D670" s="31">
        <v>106.5</v>
      </c>
      <c r="E670" s="33"/>
      <c r="F670" s="33"/>
      <c r="G670" s="34"/>
      <c r="H670" s="34"/>
      <c r="I670" s="34"/>
      <c r="J670" s="34"/>
      <c r="K670" s="34"/>
      <c r="L670" s="33"/>
      <c r="M670" s="34"/>
      <c r="N670" s="27"/>
      <c r="O670" s="34"/>
      <c r="P670" s="35">
        <f t="shared" si="94"/>
        <v>0</v>
      </c>
      <c r="Q670" s="34"/>
      <c r="R670" s="35"/>
    </row>
    <row r="671" spans="1:18" x14ac:dyDescent="0.3">
      <c r="A671" s="32">
        <v>43735</v>
      </c>
      <c r="B671" s="33" t="s">
        <v>54</v>
      </c>
      <c r="C671" s="34">
        <v>1079</v>
      </c>
      <c r="D671" s="36">
        <v>55.5</v>
      </c>
      <c r="E671" s="33">
        <v>190.38</v>
      </c>
      <c r="F671" s="33">
        <v>1611</v>
      </c>
      <c r="G671" s="34">
        <v>190.38</v>
      </c>
      <c r="H671" s="34">
        <v>532</v>
      </c>
      <c r="I671" s="34">
        <v>1801.38</v>
      </c>
      <c r="J671" s="34">
        <v>338.7</v>
      </c>
      <c r="K671" s="34">
        <v>2140.08</v>
      </c>
      <c r="L671" s="33" t="s">
        <v>14</v>
      </c>
      <c r="M671" s="34">
        <f t="shared" ref="M671:M702" si="100">(E671+F671)/N671</f>
        <v>20.127150837988829</v>
      </c>
      <c r="N671" s="27">
        <v>89.5</v>
      </c>
      <c r="O671" s="38">
        <f>(M671*0.5)*15.5</f>
        <v>155.98541899441344</v>
      </c>
      <c r="P671" s="35">
        <f t="shared" si="94"/>
        <v>17.16</v>
      </c>
      <c r="Q671" s="34">
        <f t="shared" ref="Q671:Q702" si="101">O671*1.5</f>
        <v>233.97812849162017</v>
      </c>
      <c r="R671" s="35">
        <v>409.55</v>
      </c>
    </row>
    <row r="672" spans="1:18" x14ac:dyDescent="0.3">
      <c r="A672" s="32">
        <v>43749</v>
      </c>
      <c r="B672" s="33" t="s">
        <v>54</v>
      </c>
      <c r="C672" s="34">
        <v>1676</v>
      </c>
      <c r="D672" s="33">
        <v>80</v>
      </c>
      <c r="E672" s="33">
        <v>278.69</v>
      </c>
      <c r="F672" s="33">
        <v>2016</v>
      </c>
      <c r="G672" s="34">
        <v>278.69</v>
      </c>
      <c r="H672" s="34">
        <v>340</v>
      </c>
      <c r="I672" s="34">
        <v>2294.69</v>
      </c>
      <c r="J672" s="34">
        <v>387.48</v>
      </c>
      <c r="K672" s="34">
        <v>2682.17</v>
      </c>
      <c r="L672" s="33" t="s">
        <v>14</v>
      </c>
      <c r="M672" s="34">
        <f t="shared" si="100"/>
        <v>20.766425339366517</v>
      </c>
      <c r="N672" s="27">
        <v>110.5</v>
      </c>
      <c r="O672" s="34">
        <f>((N672-80)*M672)*0.5</f>
        <v>316.68798642533937</v>
      </c>
      <c r="P672" s="35">
        <f t="shared" si="94"/>
        <v>31.67</v>
      </c>
      <c r="Q672" s="34">
        <f t="shared" si="101"/>
        <v>475.03197963800903</v>
      </c>
      <c r="R672" s="35"/>
    </row>
    <row r="673" spans="1:18" x14ac:dyDescent="0.3">
      <c r="A673" s="32">
        <v>43763</v>
      </c>
      <c r="B673" s="33" t="s">
        <v>54</v>
      </c>
      <c r="C673" s="34">
        <v>1328</v>
      </c>
      <c r="D673" s="33">
        <v>80</v>
      </c>
      <c r="E673" s="33">
        <v>215.89</v>
      </c>
      <c r="F673" s="33">
        <v>1728</v>
      </c>
      <c r="G673" s="34">
        <v>215.89</v>
      </c>
      <c r="H673" s="34">
        <v>400</v>
      </c>
      <c r="I673" s="34">
        <v>1943.89</v>
      </c>
      <c r="J673" s="34">
        <v>352.79</v>
      </c>
      <c r="K673" s="34">
        <v>2296.6799999999998</v>
      </c>
      <c r="L673" s="33" t="s">
        <v>14</v>
      </c>
      <c r="M673" s="34">
        <f t="shared" si="100"/>
        <v>20.248854166666664</v>
      </c>
      <c r="N673" s="27">
        <v>96</v>
      </c>
      <c r="O673" s="34">
        <f>((N673-80)*M673)*0.5</f>
        <v>161.99083333333331</v>
      </c>
      <c r="P673" s="35">
        <f t="shared" si="94"/>
        <v>16.2</v>
      </c>
      <c r="Q673" s="34">
        <f t="shared" si="101"/>
        <v>242.98624999999998</v>
      </c>
      <c r="R673" s="35"/>
    </row>
    <row r="674" spans="1:18" x14ac:dyDescent="0.3">
      <c r="A674" s="32">
        <v>43777</v>
      </c>
      <c r="B674" s="33" t="s">
        <v>54</v>
      </c>
      <c r="C674" s="34">
        <v>2191</v>
      </c>
      <c r="D674" s="33">
        <v>80</v>
      </c>
      <c r="E674" s="33">
        <v>309.66000000000003</v>
      </c>
      <c r="F674" s="33">
        <v>2261</v>
      </c>
      <c r="G674" s="34">
        <v>329.66</v>
      </c>
      <c r="H674" s="34">
        <v>50</v>
      </c>
      <c r="I674" s="34">
        <v>2570.66</v>
      </c>
      <c r="J674" s="34">
        <v>405.11</v>
      </c>
      <c r="K674" s="34">
        <v>2975.77</v>
      </c>
      <c r="L674" s="33" t="s">
        <v>14</v>
      </c>
      <c r="M674" s="34">
        <f t="shared" si="100"/>
        <v>20.647871485943774</v>
      </c>
      <c r="N674" s="27">
        <v>124.5</v>
      </c>
      <c r="O674" s="34">
        <f>((N674-80)*M674)*0.5</f>
        <v>459.41514056224901</v>
      </c>
      <c r="P674" s="35">
        <f t="shared" si="94"/>
        <v>41.35</v>
      </c>
      <c r="Q674" s="34">
        <f t="shared" si="101"/>
        <v>689.12271084337351</v>
      </c>
      <c r="R674" s="35"/>
    </row>
    <row r="675" spans="1:18" x14ac:dyDescent="0.3">
      <c r="A675" s="32">
        <v>43791</v>
      </c>
      <c r="B675" s="33" t="s">
        <v>54</v>
      </c>
      <c r="C675" s="34">
        <v>1600</v>
      </c>
      <c r="D675" s="33">
        <v>80</v>
      </c>
      <c r="E675" s="33">
        <v>275.20999999999998</v>
      </c>
      <c r="F675" s="33">
        <v>2000</v>
      </c>
      <c r="G675" s="34">
        <v>275.20999999999998</v>
      </c>
      <c r="H675" s="34">
        <v>400</v>
      </c>
      <c r="I675" s="34">
        <v>2275.21</v>
      </c>
      <c r="J675" s="34">
        <v>371.91</v>
      </c>
      <c r="K675" s="34">
        <v>2647.12</v>
      </c>
      <c r="L675" s="33" t="s">
        <v>14</v>
      </c>
      <c r="M675" s="34">
        <f t="shared" si="100"/>
        <v>22.752099999999999</v>
      </c>
      <c r="N675" s="27">
        <v>100</v>
      </c>
      <c r="O675" s="34">
        <f>((N675-80)*M675)*0.5</f>
        <v>227.52099999999999</v>
      </c>
      <c r="P675" s="35">
        <f t="shared" si="94"/>
        <v>20.48</v>
      </c>
      <c r="Q675" s="34">
        <f t="shared" si="101"/>
        <v>341.28149999999999</v>
      </c>
      <c r="R675" s="35"/>
    </row>
    <row r="676" spans="1:18" x14ac:dyDescent="0.3">
      <c r="A676" s="32">
        <v>43805</v>
      </c>
      <c r="B676" s="33" t="s">
        <v>54</v>
      </c>
      <c r="C676" s="34">
        <v>1490</v>
      </c>
      <c r="D676" s="36">
        <v>49.5</v>
      </c>
      <c r="E676" s="33">
        <v>176.57</v>
      </c>
      <c r="F676" s="33">
        <v>1520</v>
      </c>
      <c r="G676" s="34">
        <v>176.57</v>
      </c>
      <c r="H676" s="34">
        <v>30</v>
      </c>
      <c r="I676" s="34">
        <v>1696.57</v>
      </c>
      <c r="J676" s="34">
        <v>318.14999999999998</v>
      </c>
      <c r="K676" s="34">
        <v>2014.72</v>
      </c>
      <c r="L676" s="33" t="s">
        <v>14</v>
      </c>
      <c r="M676" s="34">
        <f t="shared" si="100"/>
        <v>22.323289473684209</v>
      </c>
      <c r="N676" s="27">
        <v>76</v>
      </c>
      <c r="O676" s="38">
        <f>(M676*0.5)*9.5</f>
        <v>106.035625</v>
      </c>
      <c r="P676" s="35">
        <f t="shared" si="94"/>
        <v>9.5399999999999991</v>
      </c>
      <c r="Q676" s="34">
        <f t="shared" si="101"/>
        <v>159.0534375</v>
      </c>
      <c r="R676" s="35"/>
    </row>
    <row r="677" spans="1:18" x14ac:dyDescent="0.3">
      <c r="A677" s="32">
        <v>43819</v>
      </c>
      <c r="B677" s="33" t="s">
        <v>54</v>
      </c>
      <c r="C677" s="34">
        <v>1940</v>
      </c>
      <c r="D677" s="33">
        <v>80</v>
      </c>
      <c r="E677" s="33">
        <v>273.04000000000002</v>
      </c>
      <c r="F677" s="33">
        <v>1990</v>
      </c>
      <c r="G677" s="34">
        <v>273.04000000000002</v>
      </c>
      <c r="H677" s="34">
        <v>50</v>
      </c>
      <c r="I677" s="34">
        <v>2263.04</v>
      </c>
      <c r="J677" s="34">
        <v>370.78</v>
      </c>
      <c r="K677" s="34">
        <v>2633.82</v>
      </c>
      <c r="L677" s="33" t="s">
        <v>14</v>
      </c>
      <c r="M677" s="34">
        <f t="shared" si="100"/>
        <v>22.744120603015077</v>
      </c>
      <c r="N677" s="27">
        <v>99.5</v>
      </c>
      <c r="O677" s="34">
        <f>((N677-80)*M677)*0.5</f>
        <v>221.755175879397</v>
      </c>
      <c r="P677" s="35">
        <f t="shared" si="94"/>
        <v>17.739999999999998</v>
      </c>
      <c r="Q677" s="34">
        <f t="shared" si="101"/>
        <v>332.63276381909549</v>
      </c>
      <c r="R677" s="35"/>
    </row>
    <row r="678" spans="1:18" x14ac:dyDescent="0.3">
      <c r="A678" s="32">
        <v>43833</v>
      </c>
      <c r="B678" s="33" t="s">
        <v>54</v>
      </c>
      <c r="C678" s="34">
        <v>2470</v>
      </c>
      <c r="D678" s="36">
        <v>50</v>
      </c>
      <c r="E678" s="33">
        <v>381.04</v>
      </c>
      <c r="F678" s="33">
        <v>2470</v>
      </c>
      <c r="G678" s="34">
        <v>381.04</v>
      </c>
      <c r="H678" s="34">
        <v>0</v>
      </c>
      <c r="I678" s="34">
        <v>2851.04</v>
      </c>
      <c r="J678" s="34">
        <v>442.51</v>
      </c>
      <c r="K678" s="34">
        <v>3293.55</v>
      </c>
      <c r="L678" s="33" t="s">
        <v>14</v>
      </c>
      <c r="M678" s="34">
        <f t="shared" si="100"/>
        <v>32.215141242937854</v>
      </c>
      <c r="N678" s="27">
        <v>88.5</v>
      </c>
      <c r="O678" s="38">
        <f>(M678*0.5)*10</f>
        <v>161.07570621468926</v>
      </c>
      <c r="P678" s="35">
        <f t="shared" si="94"/>
        <v>12.89</v>
      </c>
      <c r="Q678" s="34">
        <f t="shared" si="101"/>
        <v>241.61355932203389</v>
      </c>
      <c r="R678" s="35"/>
    </row>
    <row r="679" spans="1:18" x14ac:dyDescent="0.3">
      <c r="A679" s="32">
        <v>43847</v>
      </c>
      <c r="B679" s="33" t="s">
        <v>54</v>
      </c>
      <c r="C679" s="34">
        <v>1850</v>
      </c>
      <c r="D679" s="36">
        <v>52</v>
      </c>
      <c r="E679" s="33"/>
      <c r="F679" s="33">
        <v>1950</v>
      </c>
      <c r="G679" s="34">
        <v>213.52</v>
      </c>
      <c r="H679" s="34">
        <v>100</v>
      </c>
      <c r="I679" s="34">
        <v>2163.52</v>
      </c>
      <c r="J679" s="34">
        <v>353.4</v>
      </c>
      <c r="K679" s="34">
        <v>2516.92</v>
      </c>
      <c r="L679" s="33" t="s">
        <v>14</v>
      </c>
      <c r="M679" s="34">
        <f t="shared" si="100"/>
        <v>21.787709497206706</v>
      </c>
      <c r="N679" s="27">
        <v>89.5</v>
      </c>
      <c r="O679" s="38">
        <f>(M679*0.5)*12</f>
        <v>130.72625698324023</v>
      </c>
      <c r="P679" s="35">
        <f t="shared" si="94"/>
        <v>9.15</v>
      </c>
      <c r="Q679" s="34">
        <f t="shared" si="101"/>
        <v>196.08938547486036</v>
      </c>
      <c r="R679" s="35"/>
    </row>
    <row r="680" spans="1:18" x14ac:dyDescent="0.3">
      <c r="A680" s="32">
        <v>43861</v>
      </c>
      <c r="B680" s="33" t="s">
        <v>54</v>
      </c>
      <c r="C680" s="34">
        <v>1990</v>
      </c>
      <c r="D680" s="33">
        <v>80</v>
      </c>
      <c r="E680" s="33"/>
      <c r="F680" s="33">
        <v>2040</v>
      </c>
      <c r="G680" s="34">
        <v>229.63</v>
      </c>
      <c r="H680" s="34">
        <v>50</v>
      </c>
      <c r="I680" s="34">
        <v>2269.63</v>
      </c>
      <c r="J680" s="34">
        <v>362.29</v>
      </c>
      <c r="K680" s="34">
        <v>2631.92</v>
      </c>
      <c r="L680" s="33" t="s">
        <v>14</v>
      </c>
      <c r="M680" s="34">
        <f t="shared" si="100"/>
        <v>20</v>
      </c>
      <c r="N680" s="27">
        <v>102</v>
      </c>
      <c r="O680" s="34">
        <f>((N680-80)*M680)*0.5</f>
        <v>220</v>
      </c>
      <c r="P680" s="35">
        <f t="shared" si="94"/>
        <v>15.4</v>
      </c>
      <c r="Q680" s="34">
        <f t="shared" si="101"/>
        <v>330</v>
      </c>
      <c r="R680" s="35"/>
    </row>
    <row r="681" spans="1:18" x14ac:dyDescent="0.3">
      <c r="A681" s="32">
        <v>43875</v>
      </c>
      <c r="B681" s="33" t="s">
        <v>54</v>
      </c>
      <c r="C681" s="34">
        <v>2106</v>
      </c>
      <c r="D681" s="36">
        <v>43.5</v>
      </c>
      <c r="E681" s="33"/>
      <c r="F681" s="33">
        <v>2156</v>
      </c>
      <c r="G681" s="34">
        <v>241.58</v>
      </c>
      <c r="H681" s="34">
        <v>50</v>
      </c>
      <c r="I681" s="34">
        <v>2397.58</v>
      </c>
      <c r="J681" s="34">
        <v>313.67</v>
      </c>
      <c r="K681" s="34">
        <v>2711.25</v>
      </c>
      <c r="L681" s="33" t="s">
        <v>14</v>
      </c>
      <c r="M681" s="34">
        <f t="shared" si="100"/>
        <v>29.944444444444443</v>
      </c>
      <c r="N681" s="27">
        <v>72</v>
      </c>
      <c r="O681" s="38">
        <f>(M681*0.5)*3.5</f>
        <v>52.402777777777771</v>
      </c>
      <c r="P681" s="35">
        <f t="shared" si="94"/>
        <v>3.14</v>
      </c>
      <c r="Q681" s="34">
        <f t="shared" si="101"/>
        <v>78.604166666666657</v>
      </c>
      <c r="R681" s="35"/>
    </row>
    <row r="682" spans="1:18" x14ac:dyDescent="0.3">
      <c r="A682" s="37" t="s">
        <v>77</v>
      </c>
      <c r="B682" s="33" t="s">
        <v>54</v>
      </c>
      <c r="C682" s="34">
        <v>2847</v>
      </c>
      <c r="D682" s="33">
        <v>80</v>
      </c>
      <c r="E682" s="33"/>
      <c r="F682" s="36">
        <v>2697</v>
      </c>
      <c r="G682" s="34">
        <v>341.56</v>
      </c>
      <c r="H682" s="34">
        <v>0</v>
      </c>
      <c r="I682" s="34">
        <v>3188.56</v>
      </c>
      <c r="J682" s="34">
        <v>362.96</v>
      </c>
      <c r="K682" s="34">
        <v>3551.52</v>
      </c>
      <c r="L682" s="33" t="s">
        <v>14</v>
      </c>
      <c r="M682" s="34" t="e">
        <f t="shared" si="100"/>
        <v>#DIV/0!</v>
      </c>
      <c r="N682" s="27"/>
      <c r="O682" s="34" t="e">
        <f t="shared" ref="O682:O688" si="102">((N682-80)*M682)*0.5</f>
        <v>#DIV/0!</v>
      </c>
      <c r="P682" s="35" t="e">
        <f t="shared" si="94"/>
        <v>#VALUE!</v>
      </c>
      <c r="Q682" s="34" t="e">
        <f t="shared" si="101"/>
        <v>#DIV/0!</v>
      </c>
      <c r="R682" s="35"/>
    </row>
    <row r="683" spans="1:18" x14ac:dyDescent="0.3">
      <c r="A683" s="37" t="s">
        <v>77</v>
      </c>
      <c r="B683" s="33" t="s">
        <v>54</v>
      </c>
      <c r="C683" s="34">
        <v>2636</v>
      </c>
      <c r="D683" s="33">
        <v>80</v>
      </c>
      <c r="E683" s="33"/>
      <c r="F683" s="36">
        <v>2486</v>
      </c>
      <c r="G683" s="34">
        <v>300.66000000000003</v>
      </c>
      <c r="H683" s="34">
        <v>0</v>
      </c>
      <c r="I683" s="34">
        <v>2936.66</v>
      </c>
      <c r="J683" s="34">
        <v>343.38</v>
      </c>
      <c r="K683" s="34">
        <v>3280.04</v>
      </c>
      <c r="L683" s="33" t="s">
        <v>14</v>
      </c>
      <c r="M683" s="34" t="e">
        <f t="shared" si="100"/>
        <v>#DIV/0!</v>
      </c>
      <c r="N683" s="27"/>
      <c r="O683" s="34" t="e">
        <f t="shared" si="102"/>
        <v>#DIV/0!</v>
      </c>
      <c r="P683" s="35" t="e">
        <f t="shared" si="94"/>
        <v>#VALUE!</v>
      </c>
      <c r="Q683" s="34" t="e">
        <f t="shared" si="101"/>
        <v>#DIV/0!</v>
      </c>
      <c r="R683" s="35"/>
    </row>
    <row r="684" spans="1:18" x14ac:dyDescent="0.3">
      <c r="A684" s="37" t="s">
        <v>77</v>
      </c>
      <c r="B684" s="33" t="s">
        <v>54</v>
      </c>
      <c r="C684" s="34">
        <v>2648</v>
      </c>
      <c r="D684" s="33">
        <v>80</v>
      </c>
      <c r="E684" s="33"/>
      <c r="F684" s="36">
        <v>2875</v>
      </c>
      <c r="G684" s="34">
        <v>377</v>
      </c>
      <c r="H684" s="34">
        <v>0</v>
      </c>
      <c r="I684" s="34">
        <v>3025</v>
      </c>
      <c r="J684" s="34">
        <v>379.5</v>
      </c>
      <c r="K684" s="34">
        <v>3404.5</v>
      </c>
      <c r="L684" s="33" t="s">
        <v>14</v>
      </c>
      <c r="M684" s="34" t="e">
        <f t="shared" si="100"/>
        <v>#DIV/0!</v>
      </c>
      <c r="N684" s="27"/>
      <c r="O684" s="34" t="e">
        <f t="shared" si="102"/>
        <v>#DIV/0!</v>
      </c>
      <c r="P684" s="35" t="e">
        <f t="shared" si="94"/>
        <v>#VALUE!</v>
      </c>
      <c r="Q684" s="34" t="e">
        <f t="shared" si="101"/>
        <v>#DIV/0!</v>
      </c>
      <c r="R684" s="35"/>
    </row>
    <row r="685" spans="1:18" x14ac:dyDescent="0.3">
      <c r="A685" s="37" t="s">
        <v>77</v>
      </c>
      <c r="B685" s="33" t="s">
        <v>54</v>
      </c>
      <c r="C685" s="34">
        <v>904.13</v>
      </c>
      <c r="D685" s="33">
        <v>40</v>
      </c>
      <c r="E685" s="33"/>
      <c r="F685" s="33">
        <v>1000</v>
      </c>
      <c r="G685" s="34">
        <v>95.87</v>
      </c>
      <c r="H685" s="34">
        <v>0</v>
      </c>
      <c r="I685" s="34">
        <v>1000</v>
      </c>
      <c r="J685" s="34">
        <v>149.11000000000001</v>
      </c>
      <c r="K685" s="34">
        <v>1149.1099999999999</v>
      </c>
      <c r="L685" s="33" t="s">
        <v>14</v>
      </c>
      <c r="M685" s="34" t="e">
        <f t="shared" si="100"/>
        <v>#DIV/0!</v>
      </c>
      <c r="N685" s="27"/>
      <c r="O685" s="34" t="e">
        <f t="shared" si="102"/>
        <v>#DIV/0!</v>
      </c>
      <c r="P685" s="35" t="e">
        <f t="shared" si="94"/>
        <v>#VALUE!</v>
      </c>
      <c r="Q685" s="34" t="e">
        <f t="shared" si="101"/>
        <v>#DIV/0!</v>
      </c>
      <c r="R685" s="35"/>
    </row>
    <row r="686" spans="1:18" x14ac:dyDescent="0.3">
      <c r="A686" s="37" t="s">
        <v>77</v>
      </c>
      <c r="B686" s="33" t="s">
        <v>54</v>
      </c>
      <c r="C686" s="34">
        <v>500.22</v>
      </c>
      <c r="D686" s="33">
        <v>22.13</v>
      </c>
      <c r="E686" s="33"/>
      <c r="F686" s="33">
        <v>553.25</v>
      </c>
      <c r="G686" s="34">
        <v>53.03</v>
      </c>
      <c r="H686" s="34">
        <v>0</v>
      </c>
      <c r="I686" s="34">
        <v>553.25</v>
      </c>
      <c r="J686" s="34">
        <v>83.45</v>
      </c>
      <c r="K686" s="34">
        <v>636.70000000000005</v>
      </c>
      <c r="L686" s="33" t="s">
        <v>14</v>
      </c>
      <c r="M686" s="34" t="e">
        <f t="shared" si="100"/>
        <v>#DIV/0!</v>
      </c>
      <c r="N686" s="27"/>
      <c r="O686" s="34" t="e">
        <f t="shared" si="102"/>
        <v>#DIV/0!</v>
      </c>
      <c r="P686" s="35" t="e">
        <f t="shared" si="94"/>
        <v>#VALUE!</v>
      </c>
      <c r="Q686" s="34" t="e">
        <f t="shared" si="101"/>
        <v>#DIV/0!</v>
      </c>
      <c r="R686" s="35"/>
    </row>
    <row r="687" spans="1:18" x14ac:dyDescent="0.3">
      <c r="A687" s="37" t="s">
        <v>77</v>
      </c>
      <c r="B687" s="33" t="s">
        <v>54</v>
      </c>
      <c r="C687" s="34">
        <v>2954.7</v>
      </c>
      <c r="D687" s="33">
        <v>80</v>
      </c>
      <c r="E687" s="33">
        <v>387.5</v>
      </c>
      <c r="F687" s="36">
        <v>2875</v>
      </c>
      <c r="G687" s="34">
        <v>487.8</v>
      </c>
      <c r="H687" s="34">
        <v>0</v>
      </c>
      <c r="I687" s="34">
        <v>3442.5</v>
      </c>
      <c r="J687" s="34">
        <v>546.02</v>
      </c>
      <c r="K687" s="34">
        <v>3988.52</v>
      </c>
      <c r="L687" s="33" t="s">
        <v>14</v>
      </c>
      <c r="M687" s="34" t="e">
        <f t="shared" si="100"/>
        <v>#DIV/0!</v>
      </c>
      <c r="N687" s="27"/>
      <c r="O687" s="34" t="e">
        <f t="shared" si="102"/>
        <v>#DIV/0!</v>
      </c>
      <c r="P687" s="35" t="e">
        <f t="shared" si="94"/>
        <v>#VALUE!</v>
      </c>
      <c r="Q687" s="34" t="e">
        <f t="shared" si="101"/>
        <v>#DIV/0!</v>
      </c>
      <c r="R687" s="35"/>
    </row>
    <row r="688" spans="1:18" x14ac:dyDescent="0.3">
      <c r="A688" s="37" t="s">
        <v>77</v>
      </c>
      <c r="B688" s="33" t="s">
        <v>54</v>
      </c>
      <c r="C688" s="34">
        <v>3330.78</v>
      </c>
      <c r="D688" s="33">
        <v>112.5</v>
      </c>
      <c r="E688" s="33"/>
      <c r="F688" s="36">
        <v>3347.5</v>
      </c>
      <c r="G688" s="34">
        <v>484.72</v>
      </c>
      <c r="H688" s="34">
        <v>0</v>
      </c>
      <c r="I688" s="34">
        <v>3815.5</v>
      </c>
      <c r="J688" s="34">
        <v>465.86</v>
      </c>
      <c r="K688" s="34">
        <v>4281.3599999999997</v>
      </c>
      <c r="L688" s="33" t="s">
        <v>14</v>
      </c>
      <c r="M688" s="34" t="e">
        <f t="shared" si="100"/>
        <v>#DIV/0!</v>
      </c>
      <c r="N688" s="27"/>
      <c r="O688" s="34" t="e">
        <f t="shared" si="102"/>
        <v>#DIV/0!</v>
      </c>
      <c r="P688" s="35" t="e">
        <f t="shared" si="94"/>
        <v>#VALUE!</v>
      </c>
      <c r="Q688" s="34" t="e">
        <f t="shared" si="101"/>
        <v>#DIV/0!</v>
      </c>
      <c r="R688" s="35"/>
    </row>
    <row r="689" spans="1:18" x14ac:dyDescent="0.3">
      <c r="A689" s="32">
        <v>43441</v>
      </c>
      <c r="B689" s="33" t="s">
        <v>55</v>
      </c>
      <c r="C689" s="34">
        <v>1000</v>
      </c>
      <c r="D689" s="36">
        <v>40</v>
      </c>
      <c r="E689" s="33">
        <v>128.05000000000001</v>
      </c>
      <c r="F689" s="33">
        <v>1000</v>
      </c>
      <c r="G689" s="34">
        <v>128.05000000000001</v>
      </c>
      <c r="H689" s="34">
        <v>0</v>
      </c>
      <c r="I689" s="34">
        <v>1128.05</v>
      </c>
      <c r="J689" s="34">
        <v>193.76</v>
      </c>
      <c r="K689" s="34">
        <v>1321.81</v>
      </c>
      <c r="L689" s="33">
        <v>100107</v>
      </c>
      <c r="M689" s="34">
        <f t="shared" si="100"/>
        <v>28.201249999999998</v>
      </c>
      <c r="N689" s="27">
        <v>40</v>
      </c>
      <c r="O689" s="34">
        <v>0</v>
      </c>
      <c r="P689" s="35">
        <f t="shared" si="94"/>
        <v>0</v>
      </c>
      <c r="Q689" s="34">
        <f t="shared" si="101"/>
        <v>0</v>
      </c>
      <c r="R689" s="35">
        <v>409.55</v>
      </c>
    </row>
    <row r="690" spans="1:18" x14ac:dyDescent="0.3">
      <c r="A690" s="32">
        <v>43455</v>
      </c>
      <c r="B690" s="33" t="s">
        <v>55</v>
      </c>
      <c r="C690" s="34">
        <v>846</v>
      </c>
      <c r="D690" s="33">
        <v>80</v>
      </c>
      <c r="E690" s="33">
        <v>452.6</v>
      </c>
      <c r="F690" s="33">
        <v>2400</v>
      </c>
      <c r="G690" s="34">
        <v>477.6</v>
      </c>
      <c r="H690" s="34">
        <v>1529</v>
      </c>
      <c r="I690" s="34">
        <v>2852.6</v>
      </c>
      <c r="J690" s="34">
        <v>447.5</v>
      </c>
      <c r="K690" s="34">
        <v>3300.1</v>
      </c>
      <c r="L690" s="33">
        <v>100115</v>
      </c>
      <c r="M690" s="34">
        <f t="shared" si="100"/>
        <v>30.027368421052632</v>
      </c>
      <c r="N690" s="27">
        <v>95</v>
      </c>
      <c r="O690" s="34">
        <f>((N690-80)*M690)*0.5</f>
        <v>225.20526315789473</v>
      </c>
      <c r="P690" s="35">
        <f t="shared" si="94"/>
        <v>45.04</v>
      </c>
      <c r="Q690" s="34">
        <f t="shared" si="101"/>
        <v>337.80789473684212</v>
      </c>
      <c r="R690" s="35"/>
    </row>
    <row r="691" spans="1:18" x14ac:dyDescent="0.3">
      <c r="A691" s="32">
        <v>43469</v>
      </c>
      <c r="B691" s="33" t="s">
        <v>55</v>
      </c>
      <c r="C691" s="34">
        <v>861</v>
      </c>
      <c r="D691" s="36">
        <v>51</v>
      </c>
      <c r="E691" s="33">
        <v>484.42</v>
      </c>
      <c r="F691" s="33">
        <v>2000</v>
      </c>
      <c r="G691" s="34">
        <v>409.42</v>
      </c>
      <c r="H691" s="34">
        <v>1214</v>
      </c>
      <c r="I691" s="34">
        <v>2484.42</v>
      </c>
      <c r="J691" s="34">
        <v>410.47</v>
      </c>
      <c r="K691" s="34">
        <v>2894.89</v>
      </c>
      <c r="L691" s="33">
        <v>100121</v>
      </c>
      <c r="M691" s="34">
        <f t="shared" si="100"/>
        <v>29.93277108433735</v>
      </c>
      <c r="N691" s="27">
        <v>83</v>
      </c>
      <c r="O691" s="38">
        <f>(M691*0.5)*11</f>
        <v>164.63024096385541</v>
      </c>
      <c r="P691" s="35">
        <f t="shared" si="94"/>
        <v>32.93</v>
      </c>
      <c r="Q691" s="34">
        <f t="shared" si="101"/>
        <v>246.94536144578313</v>
      </c>
      <c r="R691" s="35"/>
    </row>
    <row r="692" spans="1:18" x14ac:dyDescent="0.3">
      <c r="A692" s="37" t="s">
        <v>77</v>
      </c>
      <c r="B692" s="33" t="s">
        <v>55</v>
      </c>
      <c r="C692" s="34">
        <v>1685</v>
      </c>
      <c r="D692" s="33">
        <v>80</v>
      </c>
      <c r="E692" s="33">
        <v>407.8</v>
      </c>
      <c r="F692" s="33">
        <v>2000</v>
      </c>
      <c r="G692" s="34">
        <v>232.8</v>
      </c>
      <c r="H692" s="34">
        <v>490</v>
      </c>
      <c r="I692" s="34">
        <v>2407.8000000000002</v>
      </c>
      <c r="J692" s="34">
        <v>402.77</v>
      </c>
      <c r="K692" s="34">
        <v>2810.57</v>
      </c>
      <c r="L692" s="33">
        <v>100130</v>
      </c>
      <c r="M692" s="34" t="e">
        <f t="shared" si="100"/>
        <v>#DIV/0!</v>
      </c>
      <c r="N692" s="27">
        <v>0</v>
      </c>
      <c r="O692" s="34" t="e">
        <f>((N692-80)*M692)*0.5</f>
        <v>#DIV/0!</v>
      </c>
      <c r="P692" s="35" t="e">
        <f t="shared" si="94"/>
        <v>#VALUE!</v>
      </c>
      <c r="Q692" s="34" t="e">
        <f t="shared" si="101"/>
        <v>#DIV/0!</v>
      </c>
      <c r="R692" s="35"/>
    </row>
    <row r="693" spans="1:18" x14ac:dyDescent="0.3">
      <c r="A693" s="32">
        <v>43497</v>
      </c>
      <c r="B693" s="33" t="s">
        <v>55</v>
      </c>
      <c r="C693" s="34">
        <v>2662</v>
      </c>
      <c r="D693" s="33">
        <v>80</v>
      </c>
      <c r="E693" s="33">
        <v>1217.3</v>
      </c>
      <c r="F693" s="33">
        <v>2000</v>
      </c>
      <c r="G693" s="34">
        <v>555.29999999999995</v>
      </c>
      <c r="H693" s="34">
        <v>0</v>
      </c>
      <c r="I693" s="34">
        <v>3217.3</v>
      </c>
      <c r="J693" s="34">
        <v>477.54</v>
      </c>
      <c r="K693" s="34">
        <v>3694.84</v>
      </c>
      <c r="L693" s="33">
        <v>100139</v>
      </c>
      <c r="M693" s="34">
        <f t="shared" si="100"/>
        <v>30.209389671361503</v>
      </c>
      <c r="N693" s="27">
        <v>106.5</v>
      </c>
      <c r="O693" s="34">
        <f>((N693-80)*M693)*0.5</f>
        <v>400.27441314553994</v>
      </c>
      <c r="P693" s="35">
        <f t="shared" si="94"/>
        <v>76.05</v>
      </c>
      <c r="Q693" s="34">
        <f t="shared" si="101"/>
        <v>600.41161971830991</v>
      </c>
      <c r="R693" s="35"/>
    </row>
    <row r="694" spans="1:18" x14ac:dyDescent="0.3">
      <c r="A694" s="37" t="s">
        <v>77</v>
      </c>
      <c r="B694" s="33" t="s">
        <v>55</v>
      </c>
      <c r="C694" s="34">
        <v>2275</v>
      </c>
      <c r="D694" s="33">
        <v>80</v>
      </c>
      <c r="E694" s="33">
        <v>241.37</v>
      </c>
      <c r="F694" s="33">
        <v>2275</v>
      </c>
      <c r="G694" s="34">
        <v>241.37</v>
      </c>
      <c r="H694" s="34">
        <v>0</v>
      </c>
      <c r="I694" s="34">
        <v>2516.37</v>
      </c>
      <c r="J694" s="34">
        <v>398.59</v>
      </c>
      <c r="K694" s="34">
        <v>2914.96</v>
      </c>
      <c r="L694" s="33" t="s">
        <v>14</v>
      </c>
      <c r="M694" s="34" t="e">
        <f t="shared" si="100"/>
        <v>#DIV/0!</v>
      </c>
      <c r="N694" s="27"/>
      <c r="O694" s="34" t="e">
        <f>((N694-80)*M694)*0.5</f>
        <v>#DIV/0!</v>
      </c>
      <c r="P694" s="35" t="e">
        <f t="shared" si="94"/>
        <v>#VALUE!</v>
      </c>
      <c r="Q694" s="34" t="e">
        <f t="shared" si="101"/>
        <v>#DIV/0!</v>
      </c>
      <c r="R694" s="35"/>
    </row>
    <row r="695" spans="1:18" x14ac:dyDescent="0.3">
      <c r="A695" s="37" t="s">
        <v>77</v>
      </c>
      <c r="B695" s="33" t="s">
        <v>55</v>
      </c>
      <c r="C695" s="34">
        <v>2475</v>
      </c>
      <c r="D695" s="33">
        <v>0</v>
      </c>
      <c r="E695" s="33">
        <v>2475</v>
      </c>
      <c r="F695" s="33"/>
      <c r="G695" s="34">
        <v>455.76</v>
      </c>
      <c r="H695" s="34">
        <v>0</v>
      </c>
      <c r="I695" s="34">
        <v>2930.76</v>
      </c>
      <c r="J695" s="34">
        <v>277.24</v>
      </c>
      <c r="K695" s="34">
        <v>3208</v>
      </c>
      <c r="L695" s="33" t="s">
        <v>14</v>
      </c>
      <c r="M695" s="34" t="e">
        <f t="shared" si="100"/>
        <v>#DIV/0!</v>
      </c>
      <c r="N695" s="27"/>
      <c r="O695" s="34" t="e">
        <f>((N695-80)*M695)*0.5</f>
        <v>#DIV/0!</v>
      </c>
      <c r="P695" s="35" t="e">
        <f t="shared" si="94"/>
        <v>#VALUE!</v>
      </c>
      <c r="Q695" s="34" t="e">
        <f t="shared" si="101"/>
        <v>#DIV/0!</v>
      </c>
      <c r="R695" s="35"/>
    </row>
    <row r="696" spans="1:18" x14ac:dyDescent="0.3">
      <c r="A696" s="37" t="s">
        <v>77</v>
      </c>
      <c r="B696" s="33" t="s">
        <v>55</v>
      </c>
      <c r="C696" s="34">
        <v>2512</v>
      </c>
      <c r="D696" s="33">
        <v>80</v>
      </c>
      <c r="E696" s="33">
        <v>1030.03</v>
      </c>
      <c r="F696" s="33">
        <v>2000</v>
      </c>
      <c r="G696" s="34">
        <v>518.03</v>
      </c>
      <c r="H696" s="34">
        <v>0</v>
      </c>
      <c r="I696" s="34">
        <v>3030.03</v>
      </c>
      <c r="J696" s="34">
        <v>447.19</v>
      </c>
      <c r="K696" s="34">
        <v>3477.22</v>
      </c>
      <c r="L696" s="33" t="s">
        <v>14</v>
      </c>
      <c r="M696" s="34" t="e">
        <f t="shared" si="100"/>
        <v>#DIV/0!</v>
      </c>
      <c r="N696" s="27"/>
      <c r="O696" s="34" t="e">
        <f>((N696-80)*M696)*0.5</f>
        <v>#DIV/0!</v>
      </c>
      <c r="P696" s="35" t="e">
        <f t="shared" si="94"/>
        <v>#VALUE!</v>
      </c>
      <c r="Q696" s="34" t="e">
        <f t="shared" si="101"/>
        <v>#DIV/0!</v>
      </c>
      <c r="R696" s="35"/>
    </row>
    <row r="697" spans="1:18" x14ac:dyDescent="0.3">
      <c r="A697" s="32">
        <v>43553</v>
      </c>
      <c r="B697" s="33" t="s">
        <v>55</v>
      </c>
      <c r="C697" s="34">
        <v>2000</v>
      </c>
      <c r="D697" s="36">
        <v>36</v>
      </c>
      <c r="E697" s="33">
        <v>390.79</v>
      </c>
      <c r="F697" s="33">
        <v>2000</v>
      </c>
      <c r="G697" s="34">
        <v>390.79</v>
      </c>
      <c r="H697" s="34">
        <v>0</v>
      </c>
      <c r="I697" s="34">
        <v>2390.79</v>
      </c>
      <c r="J697" s="34">
        <v>386.71</v>
      </c>
      <c r="K697" s="34">
        <v>2777.5</v>
      </c>
      <c r="L697" s="33" t="s">
        <v>14</v>
      </c>
      <c r="M697" s="34">
        <f t="shared" si="100"/>
        <v>66.410833333333329</v>
      </c>
      <c r="N697" s="27">
        <v>36</v>
      </c>
      <c r="O697" s="34">
        <v>0</v>
      </c>
      <c r="P697" s="35">
        <f t="shared" si="94"/>
        <v>0</v>
      </c>
      <c r="Q697" s="34">
        <f t="shared" si="101"/>
        <v>0</v>
      </c>
      <c r="R697" s="35"/>
    </row>
    <row r="698" spans="1:18" x14ac:dyDescent="0.3">
      <c r="A698" s="32">
        <v>43567</v>
      </c>
      <c r="B698" s="33" t="s">
        <v>55</v>
      </c>
      <c r="C698" s="34">
        <v>2160</v>
      </c>
      <c r="D698" s="33">
        <v>80</v>
      </c>
      <c r="E698" s="33">
        <v>640.5</v>
      </c>
      <c r="F698" s="33">
        <v>2000</v>
      </c>
      <c r="G698" s="34">
        <v>440.5</v>
      </c>
      <c r="H698" s="34">
        <v>40</v>
      </c>
      <c r="I698" s="34">
        <v>2640.5</v>
      </c>
      <c r="J698" s="34">
        <v>410.33</v>
      </c>
      <c r="K698" s="34">
        <v>3050.83</v>
      </c>
      <c r="L698" s="33" t="s">
        <v>14</v>
      </c>
      <c r="M698" s="34">
        <f t="shared" si="100"/>
        <v>30.005681818181817</v>
      </c>
      <c r="N698" s="27">
        <v>88</v>
      </c>
      <c r="O698" s="34">
        <f>((N698-80)*M698)*0.5</f>
        <v>120.02272727272727</v>
      </c>
      <c r="P698" s="35">
        <f t="shared" si="94"/>
        <v>19.2</v>
      </c>
      <c r="Q698" s="34">
        <f t="shared" si="101"/>
        <v>180.03409090909091</v>
      </c>
      <c r="R698" s="35"/>
    </row>
    <row r="699" spans="1:18" x14ac:dyDescent="0.3">
      <c r="A699" s="32">
        <v>43581</v>
      </c>
      <c r="B699" s="33" t="s">
        <v>55</v>
      </c>
      <c r="C699" s="34">
        <v>2190</v>
      </c>
      <c r="D699" s="33">
        <v>80</v>
      </c>
      <c r="E699" s="33">
        <v>640.5</v>
      </c>
      <c r="F699" s="33">
        <v>2000</v>
      </c>
      <c r="G699" s="34">
        <v>440.5</v>
      </c>
      <c r="H699" s="34">
        <v>10</v>
      </c>
      <c r="I699" s="34">
        <v>2640.5</v>
      </c>
      <c r="J699" s="34">
        <v>405.85</v>
      </c>
      <c r="K699" s="34">
        <v>3046.35</v>
      </c>
      <c r="L699" s="33" t="s">
        <v>14</v>
      </c>
      <c r="M699" s="34">
        <f t="shared" si="100"/>
        <v>30.005681818181817</v>
      </c>
      <c r="N699" s="27">
        <v>88</v>
      </c>
      <c r="O699" s="34">
        <f>((N699-80)*M699)*0.5</f>
        <v>120.02272727272727</v>
      </c>
      <c r="P699" s="35">
        <f t="shared" si="94"/>
        <v>19.2</v>
      </c>
      <c r="Q699" s="34">
        <f t="shared" si="101"/>
        <v>180.03409090909091</v>
      </c>
      <c r="R699" s="35"/>
    </row>
    <row r="700" spans="1:18" x14ac:dyDescent="0.3">
      <c r="A700" s="32">
        <v>43595</v>
      </c>
      <c r="B700" s="33" t="s">
        <v>55</v>
      </c>
      <c r="C700" s="34">
        <v>2350</v>
      </c>
      <c r="D700" s="36">
        <v>44</v>
      </c>
      <c r="E700" s="33">
        <v>827.75</v>
      </c>
      <c r="F700" s="33">
        <v>2000</v>
      </c>
      <c r="G700" s="34">
        <v>477.75</v>
      </c>
      <c r="H700" s="34">
        <v>0</v>
      </c>
      <c r="I700" s="34">
        <v>2827.75</v>
      </c>
      <c r="J700" s="34">
        <v>423.24</v>
      </c>
      <c r="K700" s="34">
        <v>3250.99</v>
      </c>
      <c r="L700" s="33" t="s">
        <v>14</v>
      </c>
      <c r="M700" s="34">
        <f t="shared" si="100"/>
        <v>64.267045454545453</v>
      </c>
      <c r="N700" s="27">
        <v>44</v>
      </c>
      <c r="O700" s="34">
        <v>0</v>
      </c>
      <c r="P700" s="35">
        <f t="shared" si="94"/>
        <v>0</v>
      </c>
      <c r="Q700" s="34">
        <f t="shared" si="101"/>
        <v>0</v>
      </c>
      <c r="R700" s="35"/>
    </row>
    <row r="701" spans="1:18" x14ac:dyDescent="0.3">
      <c r="A701" s="37" t="s">
        <v>77</v>
      </c>
      <c r="B701" s="33" t="s">
        <v>55</v>
      </c>
      <c r="C701" s="34">
        <v>2675</v>
      </c>
      <c r="D701" s="33">
        <v>80</v>
      </c>
      <c r="E701" s="33">
        <v>1295.93</v>
      </c>
      <c r="F701" s="33">
        <v>2000</v>
      </c>
      <c r="G701" s="34">
        <v>570.92999999999995</v>
      </c>
      <c r="H701" s="34">
        <v>50</v>
      </c>
      <c r="I701" s="34">
        <v>3295.93</v>
      </c>
      <c r="J701" s="34">
        <v>466.73</v>
      </c>
      <c r="K701" s="34">
        <v>3762.66</v>
      </c>
      <c r="L701" s="33" t="s">
        <v>14</v>
      </c>
      <c r="M701" s="34" t="e">
        <f t="shared" si="100"/>
        <v>#DIV/0!</v>
      </c>
      <c r="N701" s="27"/>
      <c r="O701" s="34" t="e">
        <f>((N701-80)*M701)*0.5</f>
        <v>#DIV/0!</v>
      </c>
      <c r="P701" s="35" t="e">
        <f t="shared" si="94"/>
        <v>#VALUE!</v>
      </c>
      <c r="Q701" s="34" t="e">
        <f t="shared" si="101"/>
        <v>#DIV/0!</v>
      </c>
      <c r="R701" s="35"/>
    </row>
    <row r="702" spans="1:18" x14ac:dyDescent="0.3">
      <c r="A702" s="37" t="s">
        <v>77</v>
      </c>
      <c r="B702" s="33" t="s">
        <v>55</v>
      </c>
      <c r="C702" s="34">
        <v>2307</v>
      </c>
      <c r="D702" s="33">
        <v>80</v>
      </c>
      <c r="E702" s="33">
        <v>811.54</v>
      </c>
      <c r="F702" s="33">
        <v>2000</v>
      </c>
      <c r="G702" s="34">
        <v>474.54</v>
      </c>
      <c r="H702" s="34">
        <v>30</v>
      </c>
      <c r="I702" s="34">
        <v>2811.54</v>
      </c>
      <c r="J702" s="34">
        <v>421.73</v>
      </c>
      <c r="K702" s="34">
        <v>3233.27</v>
      </c>
      <c r="L702" s="33" t="s">
        <v>14</v>
      </c>
      <c r="M702" s="34" t="e">
        <f t="shared" si="100"/>
        <v>#DIV/0!</v>
      </c>
      <c r="N702" s="27"/>
      <c r="O702" s="34" t="e">
        <f>((N702-80)*M702)*0.5</f>
        <v>#DIV/0!</v>
      </c>
      <c r="P702" s="35" t="e">
        <f t="shared" si="94"/>
        <v>#VALUE!</v>
      </c>
      <c r="Q702" s="34" t="e">
        <f t="shared" si="101"/>
        <v>#DIV/0!</v>
      </c>
      <c r="R702" s="35"/>
    </row>
    <row r="703" spans="1:18" x14ac:dyDescent="0.3">
      <c r="A703" s="32">
        <v>43637</v>
      </c>
      <c r="B703" s="33" t="s">
        <v>55</v>
      </c>
      <c r="C703" s="34">
        <v>2630</v>
      </c>
      <c r="D703" s="36">
        <v>50</v>
      </c>
      <c r="E703" s="33">
        <v>1081.3</v>
      </c>
      <c r="F703" s="33">
        <v>2000</v>
      </c>
      <c r="G703" s="34">
        <v>431.3</v>
      </c>
      <c r="H703" s="34">
        <v>20</v>
      </c>
      <c r="I703" s="34">
        <v>3081.3</v>
      </c>
      <c r="J703" s="34">
        <v>446.8</v>
      </c>
      <c r="K703" s="34">
        <v>3528.1</v>
      </c>
      <c r="L703" s="33" t="s">
        <v>14</v>
      </c>
      <c r="M703" s="34">
        <f t="shared" ref="M703:M730" si="103">(E703+F703)/N703</f>
        <v>53.125862068965517</v>
      </c>
      <c r="N703" s="27">
        <v>58</v>
      </c>
      <c r="O703" s="38">
        <f>(M703*0.5)*10</f>
        <v>265.62931034482756</v>
      </c>
      <c r="P703" s="35">
        <f t="shared" si="94"/>
        <v>37.19</v>
      </c>
      <c r="Q703" s="34">
        <f t="shared" ref="Q703:Q730" si="104">O703*1.5</f>
        <v>398.44396551724134</v>
      </c>
      <c r="R703" s="35"/>
    </row>
    <row r="704" spans="1:18" x14ac:dyDescent="0.3">
      <c r="A704" s="32">
        <v>43651</v>
      </c>
      <c r="B704" s="33" t="s">
        <v>55</v>
      </c>
      <c r="C704" s="34">
        <v>2095</v>
      </c>
      <c r="D704" s="33">
        <v>80</v>
      </c>
      <c r="E704" s="33">
        <v>353.48</v>
      </c>
      <c r="F704" s="33">
        <v>2000</v>
      </c>
      <c r="G704" s="34">
        <v>228.48</v>
      </c>
      <c r="H704" s="34">
        <v>30</v>
      </c>
      <c r="I704" s="34">
        <v>2353.48</v>
      </c>
      <c r="J704" s="34">
        <v>379.18</v>
      </c>
      <c r="K704" s="34">
        <v>2732.66</v>
      </c>
      <c r="L704" s="33" t="s">
        <v>14</v>
      </c>
      <c r="M704" s="34">
        <f t="shared" si="103"/>
        <v>27.687999999999999</v>
      </c>
      <c r="N704" s="27">
        <v>85</v>
      </c>
      <c r="O704" s="34">
        <f>((N704-80)*M704)*0.5</f>
        <v>69.22</v>
      </c>
      <c r="P704" s="35">
        <f t="shared" si="94"/>
        <v>9.69</v>
      </c>
      <c r="Q704" s="34">
        <f t="shared" si="104"/>
        <v>103.83</v>
      </c>
      <c r="R704" s="35"/>
    </row>
    <row r="705" spans="1:18" x14ac:dyDescent="0.3">
      <c r="A705" s="32">
        <v>43665</v>
      </c>
      <c r="B705" s="33" t="s">
        <v>55</v>
      </c>
      <c r="C705" s="34">
        <v>1860</v>
      </c>
      <c r="D705" s="36">
        <v>45</v>
      </c>
      <c r="E705" s="33">
        <v>258.85000000000002</v>
      </c>
      <c r="F705" s="33">
        <v>1925</v>
      </c>
      <c r="G705" s="34">
        <v>258.85000000000002</v>
      </c>
      <c r="H705" s="34">
        <v>65</v>
      </c>
      <c r="I705" s="34">
        <v>2183.85</v>
      </c>
      <c r="J705" s="34">
        <v>363.41</v>
      </c>
      <c r="K705" s="34">
        <v>2547.2600000000002</v>
      </c>
      <c r="L705" s="33" t="s">
        <v>14</v>
      </c>
      <c r="M705" s="34">
        <f t="shared" si="103"/>
        <v>28.361688311688312</v>
      </c>
      <c r="N705" s="27">
        <v>77</v>
      </c>
      <c r="O705" s="38">
        <f>(M705*0.5)*5</f>
        <v>70.904220779220779</v>
      </c>
      <c r="P705" s="35">
        <f t="shared" ref="P705:P768" si="105">ROUND(((ROUNDDOWN(($T$1-A705)/30,0))/100)*O705,2)</f>
        <v>9.2200000000000006</v>
      </c>
      <c r="Q705" s="34">
        <f t="shared" si="104"/>
        <v>106.35633116883116</v>
      </c>
      <c r="R705" s="35"/>
    </row>
    <row r="706" spans="1:18" x14ac:dyDescent="0.3">
      <c r="A706" s="32">
        <v>43679</v>
      </c>
      <c r="B706" s="33" t="s">
        <v>55</v>
      </c>
      <c r="C706" s="34">
        <v>2337</v>
      </c>
      <c r="D706" s="33">
        <v>80</v>
      </c>
      <c r="E706" s="33">
        <v>365.9</v>
      </c>
      <c r="F706" s="33">
        <v>2387</v>
      </c>
      <c r="G706" s="34">
        <v>365.94</v>
      </c>
      <c r="H706" s="34">
        <v>49.96</v>
      </c>
      <c r="I706" s="34">
        <v>2752.9</v>
      </c>
      <c r="J706" s="34">
        <v>416.29</v>
      </c>
      <c r="K706" s="34">
        <v>3169.19</v>
      </c>
      <c r="L706" s="33" t="s">
        <v>14</v>
      </c>
      <c r="M706" s="34">
        <f t="shared" si="103"/>
        <v>26.598067632850242</v>
      </c>
      <c r="N706" s="27">
        <v>103.5</v>
      </c>
      <c r="O706" s="34">
        <f t="shared" ref="O706:O711" si="106">((N706-80)*M706)*0.5</f>
        <v>312.52729468599034</v>
      </c>
      <c r="P706" s="35">
        <f t="shared" si="105"/>
        <v>40.630000000000003</v>
      </c>
      <c r="Q706" s="34">
        <f t="shared" si="104"/>
        <v>468.79094202898551</v>
      </c>
      <c r="R706" s="35"/>
    </row>
    <row r="707" spans="1:18" x14ac:dyDescent="0.3">
      <c r="A707" s="32">
        <v>43693</v>
      </c>
      <c r="B707" s="33" t="s">
        <v>55</v>
      </c>
      <c r="C707" s="34">
        <v>2212</v>
      </c>
      <c r="D707" s="33">
        <v>80</v>
      </c>
      <c r="E707" s="33">
        <v>384.88</v>
      </c>
      <c r="F707" s="33">
        <v>2212</v>
      </c>
      <c r="G707" s="34">
        <v>334.88</v>
      </c>
      <c r="H707" s="34">
        <v>50</v>
      </c>
      <c r="I707" s="34">
        <v>2596.88</v>
      </c>
      <c r="J707" s="34">
        <v>401.79</v>
      </c>
      <c r="K707" s="34">
        <v>2998.67</v>
      </c>
      <c r="L707" s="33" t="s">
        <v>14</v>
      </c>
      <c r="M707" s="34">
        <f t="shared" si="103"/>
        <v>28.694806629834254</v>
      </c>
      <c r="N707" s="27">
        <v>90.5</v>
      </c>
      <c r="O707" s="34">
        <f t="shared" si="106"/>
        <v>150.64773480662984</v>
      </c>
      <c r="P707" s="35">
        <f t="shared" si="105"/>
        <v>18.079999999999998</v>
      </c>
      <c r="Q707" s="34">
        <f t="shared" si="104"/>
        <v>225.97160220994476</v>
      </c>
      <c r="R707" s="35"/>
    </row>
    <row r="708" spans="1:18" x14ac:dyDescent="0.3">
      <c r="A708" s="32">
        <v>43707</v>
      </c>
      <c r="B708" s="33" t="s">
        <v>55</v>
      </c>
      <c r="C708" s="34">
        <v>2637</v>
      </c>
      <c r="D708" s="33">
        <v>80</v>
      </c>
      <c r="E708" s="33">
        <v>440.5</v>
      </c>
      <c r="F708" s="33">
        <v>2687</v>
      </c>
      <c r="G708" s="34">
        <v>440.5</v>
      </c>
      <c r="H708" s="34">
        <v>50</v>
      </c>
      <c r="I708" s="34">
        <v>3127.5</v>
      </c>
      <c r="J708" s="34">
        <v>451.1</v>
      </c>
      <c r="K708" s="34">
        <v>3578.6</v>
      </c>
      <c r="L708" s="33" t="s">
        <v>14</v>
      </c>
      <c r="M708" s="34">
        <f t="shared" si="103"/>
        <v>30.812807881773399</v>
      </c>
      <c r="N708" s="27">
        <v>101.5</v>
      </c>
      <c r="O708" s="34">
        <f t="shared" si="106"/>
        <v>331.23768472906403</v>
      </c>
      <c r="P708" s="35">
        <f t="shared" si="105"/>
        <v>39.75</v>
      </c>
      <c r="Q708" s="34">
        <f t="shared" si="104"/>
        <v>496.85652709359601</v>
      </c>
      <c r="R708" s="35"/>
    </row>
    <row r="709" spans="1:18" x14ac:dyDescent="0.3">
      <c r="A709" s="32">
        <v>43721</v>
      </c>
      <c r="B709" s="33" t="s">
        <v>55</v>
      </c>
      <c r="C709" s="34">
        <v>2512</v>
      </c>
      <c r="D709" s="33">
        <v>80</v>
      </c>
      <c r="E709" s="33">
        <v>397</v>
      </c>
      <c r="F709" s="33">
        <v>2512</v>
      </c>
      <c r="G709" s="34">
        <v>397</v>
      </c>
      <c r="H709" s="34">
        <v>0</v>
      </c>
      <c r="I709" s="34">
        <v>2909</v>
      </c>
      <c r="J709" s="34">
        <v>391.42</v>
      </c>
      <c r="K709" s="34">
        <v>3300.42</v>
      </c>
      <c r="L709" s="33" t="s">
        <v>14</v>
      </c>
      <c r="M709" s="34">
        <f t="shared" si="103"/>
        <v>28.660098522167488</v>
      </c>
      <c r="N709" s="27">
        <v>101.5</v>
      </c>
      <c r="O709" s="34">
        <f t="shared" si="106"/>
        <v>308.0960591133005</v>
      </c>
      <c r="P709" s="35">
        <f t="shared" si="105"/>
        <v>33.89</v>
      </c>
      <c r="Q709" s="34">
        <f t="shared" si="104"/>
        <v>462.14408866995075</v>
      </c>
      <c r="R709" s="35"/>
    </row>
    <row r="710" spans="1:18" x14ac:dyDescent="0.3">
      <c r="A710" s="32">
        <v>43735</v>
      </c>
      <c r="B710" s="33" t="s">
        <v>55</v>
      </c>
      <c r="C710" s="34">
        <v>2925</v>
      </c>
      <c r="D710" s="33">
        <v>80</v>
      </c>
      <c r="E710" s="33">
        <v>499.63</v>
      </c>
      <c r="F710" s="33">
        <v>2925</v>
      </c>
      <c r="G710" s="34">
        <v>499.63</v>
      </c>
      <c r="H710" s="34">
        <v>0</v>
      </c>
      <c r="I710" s="34">
        <v>3424.63</v>
      </c>
      <c r="J710" s="34">
        <v>422.53</v>
      </c>
      <c r="K710" s="34">
        <v>3847.16</v>
      </c>
      <c r="L710" s="33" t="s">
        <v>14</v>
      </c>
      <c r="M710" s="34">
        <f t="shared" si="103"/>
        <v>29.270341880341881</v>
      </c>
      <c r="N710" s="27">
        <v>117</v>
      </c>
      <c r="O710" s="34">
        <f t="shared" si="106"/>
        <v>541.50132478632486</v>
      </c>
      <c r="P710" s="35">
        <f t="shared" si="105"/>
        <v>59.57</v>
      </c>
      <c r="Q710" s="34">
        <f t="shared" si="104"/>
        <v>812.25198717948729</v>
      </c>
      <c r="R710" s="35"/>
    </row>
    <row r="711" spans="1:18" x14ac:dyDescent="0.3">
      <c r="A711" s="32">
        <v>43749</v>
      </c>
      <c r="B711" s="33" t="s">
        <v>55</v>
      </c>
      <c r="C711" s="34">
        <v>2500</v>
      </c>
      <c r="D711" s="33">
        <v>80</v>
      </c>
      <c r="E711" s="33">
        <v>418.87</v>
      </c>
      <c r="F711" s="33">
        <v>2600</v>
      </c>
      <c r="G711" s="34">
        <v>418.87</v>
      </c>
      <c r="H711" s="34">
        <v>100</v>
      </c>
      <c r="I711" s="34">
        <v>3018.87</v>
      </c>
      <c r="J711" s="34">
        <v>391.48</v>
      </c>
      <c r="K711" s="34">
        <v>3410.35</v>
      </c>
      <c r="L711" s="33" t="s">
        <v>14</v>
      </c>
      <c r="M711" s="34">
        <f t="shared" si="103"/>
        <v>29.16782608695652</v>
      </c>
      <c r="N711" s="27">
        <v>103.5</v>
      </c>
      <c r="O711" s="34">
        <f t="shared" si="106"/>
        <v>342.72195652173912</v>
      </c>
      <c r="P711" s="35">
        <f t="shared" si="105"/>
        <v>34.270000000000003</v>
      </c>
      <c r="Q711" s="34">
        <f t="shared" si="104"/>
        <v>514.08293478260862</v>
      </c>
      <c r="R711" s="35"/>
    </row>
    <row r="712" spans="1:18" x14ac:dyDescent="0.3">
      <c r="A712" s="32">
        <v>43763</v>
      </c>
      <c r="B712" s="33" t="s">
        <v>55</v>
      </c>
      <c r="C712" s="34">
        <v>2316</v>
      </c>
      <c r="D712" s="36">
        <v>49.5</v>
      </c>
      <c r="E712" s="33">
        <v>360.74</v>
      </c>
      <c r="F712" s="33">
        <v>2366</v>
      </c>
      <c r="G712" s="34">
        <v>360.74</v>
      </c>
      <c r="H712" s="34">
        <v>50</v>
      </c>
      <c r="I712" s="34">
        <v>2726.74</v>
      </c>
      <c r="J712" s="34">
        <v>369.14</v>
      </c>
      <c r="K712" s="34">
        <v>3095.88</v>
      </c>
      <c r="L712" s="33" t="s">
        <v>14</v>
      </c>
      <c r="M712" s="34">
        <f t="shared" si="103"/>
        <v>31.341839080459767</v>
      </c>
      <c r="N712" s="27">
        <v>87</v>
      </c>
      <c r="O712" s="38">
        <f>(M712*0.5)*9.5</f>
        <v>148.87373563218389</v>
      </c>
      <c r="P712" s="35">
        <f t="shared" si="105"/>
        <v>14.89</v>
      </c>
      <c r="Q712" s="34">
        <f t="shared" si="104"/>
        <v>223.31060344827586</v>
      </c>
      <c r="R712" s="35"/>
    </row>
    <row r="713" spans="1:18" x14ac:dyDescent="0.3">
      <c r="A713" s="32">
        <v>43777</v>
      </c>
      <c r="B713" s="33" t="s">
        <v>55</v>
      </c>
      <c r="C713" s="34">
        <v>2342</v>
      </c>
      <c r="D713" s="33">
        <v>80</v>
      </c>
      <c r="E713" s="33">
        <v>367.19</v>
      </c>
      <c r="F713" s="33">
        <v>2392</v>
      </c>
      <c r="G713" s="34">
        <v>367.19</v>
      </c>
      <c r="H713" s="34">
        <v>50</v>
      </c>
      <c r="I713" s="34">
        <v>2759.19</v>
      </c>
      <c r="J713" s="34">
        <v>371.62</v>
      </c>
      <c r="K713" s="34">
        <v>3130.81</v>
      </c>
      <c r="L713" s="33" t="s">
        <v>14</v>
      </c>
      <c r="M713" s="34">
        <f t="shared" si="103"/>
        <v>29.668709677419354</v>
      </c>
      <c r="N713" s="27">
        <v>93</v>
      </c>
      <c r="O713" s="34">
        <f>((N713-80)*M713)*0.5</f>
        <v>192.8466129032258</v>
      </c>
      <c r="P713" s="35">
        <f t="shared" si="105"/>
        <v>17.36</v>
      </c>
      <c r="Q713" s="34">
        <f t="shared" si="104"/>
        <v>289.26991935483869</v>
      </c>
      <c r="R713" s="35"/>
    </row>
    <row r="714" spans="1:18" x14ac:dyDescent="0.3">
      <c r="A714" s="32">
        <v>43791</v>
      </c>
      <c r="B714" s="33" t="s">
        <v>55</v>
      </c>
      <c r="C714" s="34">
        <v>2316</v>
      </c>
      <c r="D714" s="33">
        <v>80</v>
      </c>
      <c r="E714" s="33">
        <v>360.71</v>
      </c>
      <c r="F714" s="33">
        <v>2366</v>
      </c>
      <c r="G714" s="34">
        <v>360.71</v>
      </c>
      <c r="H714" s="34">
        <v>50</v>
      </c>
      <c r="I714" s="34">
        <v>2726.71</v>
      </c>
      <c r="J714" s="34">
        <v>369.12</v>
      </c>
      <c r="K714" s="34">
        <v>3095.83</v>
      </c>
      <c r="L714" s="33" t="s">
        <v>14</v>
      </c>
      <c r="M714" s="34">
        <f t="shared" si="103"/>
        <v>29.963846153846156</v>
      </c>
      <c r="N714" s="27">
        <v>91</v>
      </c>
      <c r="O714" s="34">
        <f>((N714-80)*M714)*0.5</f>
        <v>164.80115384615385</v>
      </c>
      <c r="P714" s="35">
        <f t="shared" si="105"/>
        <v>14.83</v>
      </c>
      <c r="Q714" s="34">
        <f t="shared" si="104"/>
        <v>247.20173076923078</v>
      </c>
      <c r="R714" s="35"/>
    </row>
    <row r="715" spans="1:18" x14ac:dyDescent="0.3">
      <c r="A715" s="32">
        <v>43805</v>
      </c>
      <c r="B715" s="33" t="s">
        <v>55</v>
      </c>
      <c r="C715" s="34">
        <v>1946</v>
      </c>
      <c r="D715" s="36">
        <v>49.5</v>
      </c>
      <c r="E715" s="33">
        <v>269.97000000000003</v>
      </c>
      <c r="F715" s="33">
        <v>1976</v>
      </c>
      <c r="G715" s="34">
        <v>269.97000000000003</v>
      </c>
      <c r="H715" s="34">
        <v>30</v>
      </c>
      <c r="I715" s="34">
        <v>2245.9699999999998</v>
      </c>
      <c r="J715" s="34">
        <v>332.36</v>
      </c>
      <c r="K715" s="34">
        <v>2578.33</v>
      </c>
      <c r="L715" s="33" t="s">
        <v>14</v>
      </c>
      <c r="M715" s="34">
        <f t="shared" si="103"/>
        <v>29.552236842105266</v>
      </c>
      <c r="N715" s="27">
        <v>76</v>
      </c>
      <c r="O715" s="38">
        <f>(M715*0.5)*9.5</f>
        <v>140.37312500000002</v>
      </c>
      <c r="P715" s="35">
        <f t="shared" si="105"/>
        <v>12.63</v>
      </c>
      <c r="Q715" s="34">
        <f t="shared" si="104"/>
        <v>210.55968750000002</v>
      </c>
      <c r="R715" s="35"/>
    </row>
    <row r="716" spans="1:18" x14ac:dyDescent="0.3">
      <c r="A716" s="32">
        <v>43819</v>
      </c>
      <c r="B716" s="33" t="s">
        <v>55</v>
      </c>
      <c r="C716" s="34">
        <v>2381</v>
      </c>
      <c r="D716" s="33">
        <v>80</v>
      </c>
      <c r="E716" s="33">
        <v>376.87</v>
      </c>
      <c r="F716" s="33">
        <v>2431</v>
      </c>
      <c r="G716" s="34">
        <v>376.87</v>
      </c>
      <c r="H716" s="34">
        <v>50</v>
      </c>
      <c r="I716" s="34">
        <v>2807.87</v>
      </c>
      <c r="J716" s="34">
        <v>375.34</v>
      </c>
      <c r="K716" s="34">
        <v>3183.21</v>
      </c>
      <c r="L716" s="33" t="s">
        <v>14</v>
      </c>
      <c r="M716" s="34">
        <f t="shared" si="103"/>
        <v>30.030695187165776</v>
      </c>
      <c r="N716" s="27">
        <v>93.5</v>
      </c>
      <c r="O716" s="34">
        <f>((N716-80)*M716)*0.5</f>
        <v>202.70719251336899</v>
      </c>
      <c r="P716" s="35">
        <f t="shared" si="105"/>
        <v>16.22</v>
      </c>
      <c r="Q716" s="34">
        <f t="shared" si="104"/>
        <v>304.06078877005348</v>
      </c>
      <c r="R716" s="35"/>
    </row>
    <row r="717" spans="1:18" x14ac:dyDescent="0.3">
      <c r="A717" s="32">
        <v>43833</v>
      </c>
      <c r="B717" s="33" t="s">
        <v>55</v>
      </c>
      <c r="C717" s="34">
        <v>2093</v>
      </c>
      <c r="D717" s="36">
        <v>48.5</v>
      </c>
      <c r="E717" s="33">
        <v>291.26</v>
      </c>
      <c r="F717" s="33">
        <v>2093</v>
      </c>
      <c r="G717" s="34">
        <v>291.26</v>
      </c>
      <c r="H717" s="34">
        <v>0</v>
      </c>
      <c r="I717" s="34">
        <v>2384.2600000000002</v>
      </c>
      <c r="J717" s="34">
        <v>396.35</v>
      </c>
      <c r="K717" s="34">
        <v>2780.61</v>
      </c>
      <c r="L717" s="33" t="s">
        <v>14</v>
      </c>
      <c r="M717" s="34">
        <f t="shared" si="103"/>
        <v>29.618136645962736</v>
      </c>
      <c r="N717" s="27">
        <v>80.5</v>
      </c>
      <c r="O717" s="38">
        <f>(M717*0.5)*8.5</f>
        <v>125.87708074534163</v>
      </c>
      <c r="P717" s="35">
        <f t="shared" si="105"/>
        <v>10.07</v>
      </c>
      <c r="Q717" s="34">
        <f t="shared" si="104"/>
        <v>188.81562111801244</v>
      </c>
      <c r="R717" s="35"/>
    </row>
    <row r="718" spans="1:18" x14ac:dyDescent="0.3">
      <c r="A718" s="32">
        <v>43847</v>
      </c>
      <c r="B718" s="33" t="s">
        <v>55</v>
      </c>
      <c r="C718" s="34">
        <v>2121</v>
      </c>
      <c r="D718" s="36">
        <v>51.5</v>
      </c>
      <c r="E718" s="33"/>
      <c r="F718" s="33">
        <v>2221</v>
      </c>
      <c r="G718" s="34">
        <v>262.05</v>
      </c>
      <c r="H718" s="34">
        <v>100</v>
      </c>
      <c r="I718" s="34">
        <v>2483.0500000000002</v>
      </c>
      <c r="J718" s="34">
        <v>380.2</v>
      </c>
      <c r="K718" s="34">
        <v>2863.25</v>
      </c>
      <c r="L718" s="33" t="s">
        <v>14</v>
      </c>
      <c r="M718" s="34">
        <f t="shared" si="103"/>
        <v>26.598802395209582</v>
      </c>
      <c r="N718" s="27">
        <v>83.5</v>
      </c>
      <c r="O718" s="38">
        <f>(M718*0.5)*11.5</f>
        <v>152.94311377245509</v>
      </c>
      <c r="P718" s="35">
        <f t="shared" si="105"/>
        <v>10.71</v>
      </c>
      <c r="Q718" s="34">
        <f t="shared" si="104"/>
        <v>229.41467065868264</v>
      </c>
      <c r="R718" s="35"/>
    </row>
    <row r="719" spans="1:18" x14ac:dyDescent="0.3">
      <c r="A719" s="32">
        <v>43861</v>
      </c>
      <c r="B719" s="33" t="s">
        <v>55</v>
      </c>
      <c r="C719" s="34">
        <v>2394</v>
      </c>
      <c r="D719" s="33">
        <v>80</v>
      </c>
      <c r="E719" s="33"/>
      <c r="F719" s="33">
        <v>2444</v>
      </c>
      <c r="G719" s="34">
        <v>301.94</v>
      </c>
      <c r="H719" s="34">
        <v>50</v>
      </c>
      <c r="I719" s="34">
        <v>2745.94</v>
      </c>
      <c r="J719" s="34">
        <v>401.94</v>
      </c>
      <c r="K719" s="34">
        <v>3147.88</v>
      </c>
      <c r="L719" s="33" t="s">
        <v>14</v>
      </c>
      <c r="M719" s="34">
        <f t="shared" si="103"/>
        <v>26</v>
      </c>
      <c r="N719" s="27">
        <v>94</v>
      </c>
      <c r="O719" s="34">
        <f>((N719-80)*M719)*0.5</f>
        <v>182</v>
      </c>
      <c r="P719" s="35">
        <f t="shared" si="105"/>
        <v>12.74</v>
      </c>
      <c r="Q719" s="34">
        <f t="shared" si="104"/>
        <v>273</v>
      </c>
      <c r="R719" s="35"/>
    </row>
    <row r="720" spans="1:18" x14ac:dyDescent="0.3">
      <c r="A720" s="32">
        <v>43875</v>
      </c>
      <c r="B720" s="33" t="s">
        <v>55</v>
      </c>
      <c r="C720" s="34">
        <v>2173</v>
      </c>
      <c r="D720" s="36">
        <v>52.5</v>
      </c>
      <c r="E720" s="33"/>
      <c r="F720" s="33">
        <v>2223</v>
      </c>
      <c r="G720" s="34">
        <v>253.58</v>
      </c>
      <c r="H720" s="34">
        <v>50</v>
      </c>
      <c r="I720" s="34">
        <v>2476.58</v>
      </c>
      <c r="J720" s="34">
        <v>318.94</v>
      </c>
      <c r="K720" s="34">
        <v>2795.52</v>
      </c>
      <c r="L720" s="33" t="s">
        <v>14</v>
      </c>
      <c r="M720" s="34">
        <f t="shared" si="103"/>
        <v>26</v>
      </c>
      <c r="N720" s="27">
        <v>85.5</v>
      </c>
      <c r="O720" s="38">
        <f>(M720*0.5)*12.5</f>
        <v>162.5</v>
      </c>
      <c r="P720" s="35">
        <f t="shared" si="105"/>
        <v>9.75</v>
      </c>
      <c r="Q720" s="34">
        <f t="shared" si="104"/>
        <v>243.75</v>
      </c>
      <c r="R720" s="35"/>
    </row>
    <row r="721" spans="1:18" x14ac:dyDescent="0.3">
      <c r="A721" s="32">
        <v>43889</v>
      </c>
      <c r="B721" s="33" t="s">
        <v>55</v>
      </c>
      <c r="C721" s="34">
        <v>2264</v>
      </c>
      <c r="D721" s="33">
        <v>80</v>
      </c>
      <c r="E721" s="33"/>
      <c r="F721" s="33">
        <v>2314</v>
      </c>
      <c r="G721" s="34">
        <v>269.86</v>
      </c>
      <c r="H721" s="34">
        <v>50</v>
      </c>
      <c r="I721" s="34">
        <v>2583.86</v>
      </c>
      <c r="J721" s="34">
        <v>327.39</v>
      </c>
      <c r="K721" s="34">
        <v>2911.25</v>
      </c>
      <c r="L721" s="33" t="s">
        <v>14</v>
      </c>
      <c r="M721" s="34">
        <f t="shared" si="103"/>
        <v>23.612244897959183</v>
      </c>
      <c r="N721" s="27">
        <v>98</v>
      </c>
      <c r="O721" s="34">
        <f>((N721-80)*M721)*0.5</f>
        <v>212.51020408163265</v>
      </c>
      <c r="P721" s="35">
        <f t="shared" si="105"/>
        <v>12.75</v>
      </c>
      <c r="Q721" s="34">
        <f t="shared" si="104"/>
        <v>318.76530612244898</v>
      </c>
      <c r="R721" s="35"/>
    </row>
    <row r="722" spans="1:18" x14ac:dyDescent="0.3">
      <c r="A722" s="32">
        <v>43903</v>
      </c>
      <c r="B722" s="33" t="s">
        <v>55</v>
      </c>
      <c r="C722" s="34">
        <v>2238</v>
      </c>
      <c r="D722" s="36">
        <v>48</v>
      </c>
      <c r="E722" s="33"/>
      <c r="F722" s="33">
        <v>2288</v>
      </c>
      <c r="G722" s="34">
        <v>359.4</v>
      </c>
      <c r="H722" s="34">
        <v>50</v>
      </c>
      <c r="I722" s="34">
        <v>2647.4</v>
      </c>
      <c r="J722" s="34">
        <v>324.97000000000003</v>
      </c>
      <c r="K722" s="34">
        <v>2972.37</v>
      </c>
      <c r="L722" s="33" t="s">
        <v>14</v>
      </c>
      <c r="M722" s="34">
        <f t="shared" si="103"/>
        <v>28.6</v>
      </c>
      <c r="N722" s="27">
        <v>80</v>
      </c>
      <c r="O722" s="38">
        <f>(M722*0.5)*8</f>
        <v>114.4</v>
      </c>
      <c r="P722" s="35">
        <f t="shared" si="105"/>
        <v>5.72</v>
      </c>
      <c r="Q722" s="34">
        <f t="shared" si="104"/>
        <v>171.60000000000002</v>
      </c>
      <c r="R722" s="35"/>
    </row>
    <row r="723" spans="1:18" x14ac:dyDescent="0.3">
      <c r="A723" s="32">
        <v>43917</v>
      </c>
      <c r="B723" s="33" t="s">
        <v>55</v>
      </c>
      <c r="C723" s="34">
        <v>1959.7</v>
      </c>
      <c r="D723" s="36">
        <v>79</v>
      </c>
      <c r="E723" s="33"/>
      <c r="F723" s="33">
        <v>2370</v>
      </c>
      <c r="G723" s="34">
        <v>375.3</v>
      </c>
      <c r="H723" s="34">
        <v>35</v>
      </c>
      <c r="I723" s="34">
        <v>2370</v>
      </c>
      <c r="J723" s="34">
        <v>331.18</v>
      </c>
      <c r="K723" s="34">
        <v>2701.18</v>
      </c>
      <c r="L723" s="33" t="s">
        <v>14</v>
      </c>
      <c r="M723" s="34">
        <f t="shared" si="103"/>
        <v>30</v>
      </c>
      <c r="N723" s="27">
        <v>79</v>
      </c>
      <c r="O723" s="34">
        <v>0</v>
      </c>
      <c r="P723" s="35">
        <f t="shared" si="105"/>
        <v>0</v>
      </c>
      <c r="Q723" s="34">
        <f t="shared" si="104"/>
        <v>0</v>
      </c>
      <c r="R723" s="35"/>
    </row>
    <row r="724" spans="1:18" x14ac:dyDescent="0.3">
      <c r="A724" s="32">
        <v>43931</v>
      </c>
      <c r="B724" s="33" t="s">
        <v>55</v>
      </c>
      <c r="C724" s="34">
        <v>1063.7</v>
      </c>
      <c r="D724" s="36">
        <v>24</v>
      </c>
      <c r="E724" s="33"/>
      <c r="F724" s="33">
        <v>1200</v>
      </c>
      <c r="G724" s="34">
        <v>136.30000000000001</v>
      </c>
      <c r="H724" s="34">
        <v>0</v>
      </c>
      <c r="I724" s="34">
        <v>1200</v>
      </c>
      <c r="J724" s="34">
        <v>167.69</v>
      </c>
      <c r="K724" s="34">
        <v>1367.69</v>
      </c>
      <c r="L724" s="33" t="s">
        <v>14</v>
      </c>
      <c r="M724" s="34">
        <f t="shared" si="103"/>
        <v>50</v>
      </c>
      <c r="N724" s="27">
        <v>24</v>
      </c>
      <c r="O724" s="34">
        <v>0</v>
      </c>
      <c r="P724" s="35">
        <f t="shared" si="105"/>
        <v>0</v>
      </c>
      <c r="Q724" s="34">
        <f t="shared" si="104"/>
        <v>0</v>
      </c>
      <c r="R724" s="35"/>
    </row>
    <row r="725" spans="1:18" x14ac:dyDescent="0.3">
      <c r="A725" s="37" t="s">
        <v>77</v>
      </c>
      <c r="B725" s="33" t="s">
        <v>55</v>
      </c>
      <c r="C725" s="34">
        <v>500.07</v>
      </c>
      <c r="D725" s="33">
        <v>18.38</v>
      </c>
      <c r="E725" s="33"/>
      <c r="F725" s="33">
        <v>551.4</v>
      </c>
      <c r="G725" s="34">
        <v>51.33</v>
      </c>
      <c r="H725" s="34">
        <v>0</v>
      </c>
      <c r="I725" s="34">
        <v>551.4</v>
      </c>
      <c r="J725" s="34">
        <v>76.47</v>
      </c>
      <c r="K725" s="34">
        <v>627.87</v>
      </c>
      <c r="L725" s="33" t="s">
        <v>14</v>
      </c>
      <c r="M725" s="34" t="e">
        <f t="shared" si="103"/>
        <v>#DIV/0!</v>
      </c>
      <c r="N725" s="27"/>
      <c r="O725" s="34" t="e">
        <f>((N725-80)*M725)*0.5</f>
        <v>#DIV/0!</v>
      </c>
      <c r="P725" s="35" t="e">
        <f t="shared" si="105"/>
        <v>#VALUE!</v>
      </c>
      <c r="Q725" s="34" t="e">
        <f t="shared" si="104"/>
        <v>#DIV/0!</v>
      </c>
      <c r="R725" s="35"/>
    </row>
    <row r="726" spans="1:18" x14ac:dyDescent="0.3">
      <c r="A726" s="37" t="s">
        <v>77</v>
      </c>
      <c r="B726" s="33" t="s">
        <v>55</v>
      </c>
      <c r="C726" s="34">
        <v>1800</v>
      </c>
      <c r="D726" s="33">
        <v>0</v>
      </c>
      <c r="E726" s="33"/>
      <c r="F726" s="36">
        <v>1800</v>
      </c>
      <c r="G726" s="34">
        <v>0</v>
      </c>
      <c r="H726" s="34">
        <v>0</v>
      </c>
      <c r="I726" s="34">
        <v>1800</v>
      </c>
      <c r="J726" s="34">
        <v>0</v>
      </c>
      <c r="K726" s="34">
        <v>1800</v>
      </c>
      <c r="L726" s="33">
        <v>100213</v>
      </c>
      <c r="M726" s="34" t="e">
        <f t="shared" si="103"/>
        <v>#DIV/0!</v>
      </c>
      <c r="N726" s="27"/>
      <c r="O726" s="34" t="e">
        <f>((N726-80)*M726)*0.5</f>
        <v>#DIV/0!</v>
      </c>
      <c r="P726" s="35" t="e">
        <f t="shared" si="105"/>
        <v>#VALUE!</v>
      </c>
      <c r="Q726" s="34" t="e">
        <f t="shared" si="104"/>
        <v>#DIV/0!</v>
      </c>
      <c r="R726" s="35"/>
    </row>
    <row r="727" spans="1:18" x14ac:dyDescent="0.3">
      <c r="A727" s="37" t="s">
        <v>77</v>
      </c>
      <c r="B727" s="33" t="s">
        <v>55</v>
      </c>
      <c r="C727" s="34">
        <v>250.07</v>
      </c>
      <c r="D727" s="33">
        <v>25.73</v>
      </c>
      <c r="E727" s="33"/>
      <c r="F727" s="33">
        <v>771.9</v>
      </c>
      <c r="G727" s="34">
        <v>71.83</v>
      </c>
      <c r="H727" s="34">
        <v>450</v>
      </c>
      <c r="I727" s="34">
        <v>771.9</v>
      </c>
      <c r="J727" s="34">
        <v>107.04</v>
      </c>
      <c r="K727" s="34">
        <v>878.94</v>
      </c>
      <c r="L727" s="33" t="s">
        <v>14</v>
      </c>
      <c r="M727" s="34" t="e">
        <f t="shared" si="103"/>
        <v>#DIV/0!</v>
      </c>
      <c r="N727" s="27"/>
      <c r="O727" s="34" t="e">
        <f>((N727-80)*M727)*0.5</f>
        <v>#DIV/0!</v>
      </c>
      <c r="P727" s="35" t="e">
        <f t="shared" si="105"/>
        <v>#VALUE!</v>
      </c>
      <c r="Q727" s="34" t="e">
        <f t="shared" si="104"/>
        <v>#DIV/0!</v>
      </c>
      <c r="R727" s="35"/>
    </row>
    <row r="728" spans="1:18" x14ac:dyDescent="0.3">
      <c r="A728" s="37" t="s">
        <v>77</v>
      </c>
      <c r="B728" s="33" t="s">
        <v>55</v>
      </c>
      <c r="C728" s="34">
        <v>450</v>
      </c>
      <c r="D728" s="33">
        <v>0</v>
      </c>
      <c r="E728" s="33"/>
      <c r="F728" s="36">
        <v>450</v>
      </c>
      <c r="G728" s="34">
        <v>0</v>
      </c>
      <c r="H728" s="34">
        <v>0</v>
      </c>
      <c r="I728" s="34">
        <v>450</v>
      </c>
      <c r="J728" s="34">
        <v>0</v>
      </c>
      <c r="K728" s="34">
        <v>450</v>
      </c>
      <c r="L728" s="33" t="s">
        <v>14</v>
      </c>
      <c r="M728" s="34" t="e">
        <f t="shared" si="103"/>
        <v>#DIV/0!</v>
      </c>
      <c r="N728" s="27"/>
      <c r="O728" s="34" t="e">
        <f>((N728-80)*M728)*0.5</f>
        <v>#DIV/0!</v>
      </c>
      <c r="P728" s="35" t="e">
        <f t="shared" si="105"/>
        <v>#VALUE!</v>
      </c>
      <c r="Q728" s="34" t="e">
        <f t="shared" si="104"/>
        <v>#DIV/0!</v>
      </c>
      <c r="R728" s="35"/>
    </row>
    <row r="729" spans="1:18" x14ac:dyDescent="0.3">
      <c r="A729" s="32">
        <v>43973</v>
      </c>
      <c r="B729" s="33" t="s">
        <v>55</v>
      </c>
      <c r="C729" s="34">
        <v>435.34</v>
      </c>
      <c r="D729" s="36">
        <v>16</v>
      </c>
      <c r="E729" s="33"/>
      <c r="F729" s="33">
        <v>480</v>
      </c>
      <c r="G729" s="34">
        <v>44.66</v>
      </c>
      <c r="H729" s="34">
        <v>0</v>
      </c>
      <c r="I729" s="34">
        <v>480</v>
      </c>
      <c r="J729" s="34">
        <v>66.56</v>
      </c>
      <c r="K729" s="34">
        <v>546.55999999999995</v>
      </c>
      <c r="L729" s="33" t="s">
        <v>14</v>
      </c>
      <c r="M729" s="34">
        <f t="shared" si="103"/>
        <v>30</v>
      </c>
      <c r="N729" s="27">
        <v>16</v>
      </c>
      <c r="O729" s="34">
        <v>0</v>
      </c>
      <c r="P729" s="35">
        <f t="shared" si="105"/>
        <v>0</v>
      </c>
      <c r="Q729" s="34">
        <f t="shared" si="104"/>
        <v>0</v>
      </c>
      <c r="R729" s="35"/>
    </row>
    <row r="730" spans="1:18" x14ac:dyDescent="0.3">
      <c r="A730" s="32">
        <v>43987</v>
      </c>
      <c r="B730" s="33" t="s">
        <v>55</v>
      </c>
      <c r="C730" s="34">
        <v>1829.45</v>
      </c>
      <c r="D730" s="36">
        <v>72</v>
      </c>
      <c r="E730" s="33"/>
      <c r="F730" s="33">
        <v>2160</v>
      </c>
      <c r="G730" s="34">
        <v>330.55</v>
      </c>
      <c r="H730" s="34">
        <v>0</v>
      </c>
      <c r="I730" s="34">
        <v>2160</v>
      </c>
      <c r="J730" s="34">
        <v>299.52999999999997</v>
      </c>
      <c r="K730" s="34">
        <v>2459.5300000000002</v>
      </c>
      <c r="L730" s="33" t="s">
        <v>14</v>
      </c>
      <c r="M730" s="34">
        <f t="shared" si="103"/>
        <v>30</v>
      </c>
      <c r="N730" s="27">
        <v>72</v>
      </c>
      <c r="O730" s="34">
        <v>0</v>
      </c>
      <c r="P730" s="35">
        <f t="shared" si="105"/>
        <v>0</v>
      </c>
      <c r="Q730" s="34">
        <f t="shared" si="104"/>
        <v>0</v>
      </c>
      <c r="R730" s="35"/>
    </row>
    <row r="731" spans="1:18" x14ac:dyDescent="0.3">
      <c r="A731" s="32">
        <v>43995</v>
      </c>
      <c r="B731" s="33" t="s">
        <v>55</v>
      </c>
      <c r="C731" s="34"/>
      <c r="D731" s="36">
        <v>80</v>
      </c>
      <c r="E731" s="33"/>
      <c r="F731" s="33"/>
      <c r="G731" s="34"/>
      <c r="H731" s="34"/>
      <c r="I731" s="34"/>
      <c r="J731" s="34"/>
      <c r="K731" s="34"/>
      <c r="L731" s="33"/>
      <c r="M731" s="34"/>
      <c r="N731" s="27">
        <v>0</v>
      </c>
      <c r="O731" s="34">
        <v>0</v>
      </c>
      <c r="P731" s="35">
        <f t="shared" si="105"/>
        <v>0</v>
      </c>
      <c r="Q731" s="34"/>
      <c r="R731" s="35"/>
    </row>
    <row r="732" spans="1:18" x14ac:dyDescent="0.3">
      <c r="A732" s="32">
        <v>43491</v>
      </c>
      <c r="B732" s="33" t="s">
        <v>56</v>
      </c>
      <c r="C732" s="34"/>
      <c r="D732" s="31">
        <v>36.5</v>
      </c>
      <c r="E732" s="33"/>
      <c r="F732" s="33"/>
      <c r="G732" s="34"/>
      <c r="H732" s="34"/>
      <c r="I732" s="34"/>
      <c r="J732" s="34"/>
      <c r="K732" s="34"/>
      <c r="L732" s="33"/>
      <c r="M732" s="34"/>
      <c r="N732" s="27"/>
      <c r="O732" s="34"/>
      <c r="P732" s="35">
        <f t="shared" si="105"/>
        <v>0</v>
      </c>
      <c r="Q732" s="34"/>
      <c r="R732" s="35"/>
    </row>
    <row r="733" spans="1:18" x14ac:dyDescent="0.3">
      <c r="A733" s="32">
        <v>43511</v>
      </c>
      <c r="B733" s="33" t="s">
        <v>56</v>
      </c>
      <c r="C733" s="34">
        <v>1717</v>
      </c>
      <c r="D733" s="33">
        <v>80</v>
      </c>
      <c r="E733" s="33">
        <v>193.48</v>
      </c>
      <c r="F733" s="33">
        <v>1717</v>
      </c>
      <c r="G733" s="34">
        <v>193.48</v>
      </c>
      <c r="H733" s="34">
        <v>0</v>
      </c>
      <c r="I733" s="34">
        <v>1910.48</v>
      </c>
      <c r="J733" s="34">
        <v>352.73</v>
      </c>
      <c r="K733" s="34">
        <v>2263.21</v>
      </c>
      <c r="L733" s="33" t="s">
        <v>14</v>
      </c>
      <c r="M733" s="34">
        <f>(E733+F733)/N733</f>
        <v>18.915643564356436</v>
      </c>
      <c r="N733" s="27">
        <v>101</v>
      </c>
      <c r="O733" s="34">
        <f>((N733-80)*M733)*0.5</f>
        <v>198.61425742574258</v>
      </c>
      <c r="P733" s="35">
        <f t="shared" si="105"/>
        <v>35.75</v>
      </c>
      <c r="Q733" s="34">
        <f t="shared" ref="Q733:Q749" si="107">O733*1.5</f>
        <v>297.92138613861385</v>
      </c>
      <c r="R733" s="35">
        <v>409.55</v>
      </c>
    </row>
    <row r="734" spans="1:18" x14ac:dyDescent="0.3">
      <c r="A734" s="32">
        <v>43523</v>
      </c>
      <c r="B734" s="33" t="s">
        <v>56</v>
      </c>
      <c r="C734" s="34">
        <v>880</v>
      </c>
      <c r="D734" s="36">
        <v>41</v>
      </c>
      <c r="E734" s="33">
        <v>880</v>
      </c>
      <c r="F734" s="33"/>
      <c r="G734" s="34">
        <v>97.27</v>
      </c>
      <c r="H734" s="34">
        <v>0</v>
      </c>
      <c r="I734" s="34">
        <v>977.27</v>
      </c>
      <c r="J734" s="34">
        <v>98.32</v>
      </c>
      <c r="K734" s="34">
        <v>1075.5899999999999</v>
      </c>
      <c r="L734" s="33" t="s">
        <v>14</v>
      </c>
      <c r="M734" s="38">
        <v>16</v>
      </c>
      <c r="N734" s="27">
        <v>80</v>
      </c>
      <c r="O734" s="38">
        <f>(M734*0.5)*1</f>
        <v>8</v>
      </c>
      <c r="P734" s="35">
        <f t="shared" si="105"/>
        <v>1.44</v>
      </c>
      <c r="Q734" s="34">
        <f t="shared" si="107"/>
        <v>12</v>
      </c>
      <c r="R734" s="35"/>
    </row>
    <row r="735" spans="1:18" x14ac:dyDescent="0.3">
      <c r="A735" s="32">
        <v>43539</v>
      </c>
      <c r="B735" s="33" t="s">
        <v>56</v>
      </c>
      <c r="C735" s="34">
        <v>1514</v>
      </c>
      <c r="D735" s="33">
        <v>80</v>
      </c>
      <c r="E735" s="33">
        <v>312.88</v>
      </c>
      <c r="F735" s="33">
        <v>1589</v>
      </c>
      <c r="G735" s="34">
        <v>312.88</v>
      </c>
      <c r="H735" s="34">
        <v>75</v>
      </c>
      <c r="I735" s="34">
        <v>1901.88</v>
      </c>
      <c r="J735" s="34">
        <v>351.87</v>
      </c>
      <c r="K735" s="34">
        <v>2253.75</v>
      </c>
      <c r="L735" s="33" t="s">
        <v>14</v>
      </c>
      <c r="M735" s="34">
        <f t="shared" ref="M735:M749" si="108">(E735+F735)/N735</f>
        <v>20.340962566844922</v>
      </c>
      <c r="N735" s="27">
        <v>93.5</v>
      </c>
      <c r="O735" s="34">
        <f>((N735-80)*M735)*0.5</f>
        <v>137.30149732620322</v>
      </c>
      <c r="P735" s="35">
        <f t="shared" si="105"/>
        <v>23.34</v>
      </c>
      <c r="Q735" s="34">
        <f t="shared" si="107"/>
        <v>205.95224598930483</v>
      </c>
      <c r="R735" s="35"/>
    </row>
    <row r="736" spans="1:18" x14ac:dyDescent="0.3">
      <c r="A736" s="32">
        <v>43553</v>
      </c>
      <c r="B736" s="33" t="s">
        <v>56</v>
      </c>
      <c r="C736" s="34">
        <v>631</v>
      </c>
      <c r="D736" s="36">
        <v>46</v>
      </c>
      <c r="E736" s="33">
        <v>190.68</v>
      </c>
      <c r="F736" s="33">
        <v>1071</v>
      </c>
      <c r="G736" s="34">
        <v>190.68</v>
      </c>
      <c r="H736" s="34">
        <v>440</v>
      </c>
      <c r="I736" s="34">
        <v>1261.68</v>
      </c>
      <c r="J736" s="34">
        <v>287.45999999999998</v>
      </c>
      <c r="K736" s="34">
        <v>1549.14</v>
      </c>
      <c r="L736" s="33" t="s">
        <v>14</v>
      </c>
      <c r="M736" s="34">
        <f t="shared" si="108"/>
        <v>20.026666666666667</v>
      </c>
      <c r="N736" s="27">
        <v>63</v>
      </c>
      <c r="O736" s="38">
        <f>(M736*0.5)*6</f>
        <v>60.08</v>
      </c>
      <c r="P736" s="35">
        <f t="shared" si="105"/>
        <v>10.210000000000001</v>
      </c>
      <c r="Q736" s="34">
        <f t="shared" si="107"/>
        <v>90.12</v>
      </c>
      <c r="R736" s="35"/>
    </row>
    <row r="737" spans="1:18" x14ac:dyDescent="0.3">
      <c r="A737" s="32">
        <v>43819</v>
      </c>
      <c r="B737" s="33" t="s">
        <v>56</v>
      </c>
      <c r="C737" s="34">
        <v>1200</v>
      </c>
      <c r="D737" s="33">
        <v>80</v>
      </c>
      <c r="E737" s="33">
        <v>387.67</v>
      </c>
      <c r="F737" s="33">
        <v>1890</v>
      </c>
      <c r="G737" s="34">
        <v>387.67</v>
      </c>
      <c r="H737" s="34">
        <v>690</v>
      </c>
      <c r="I737" s="34">
        <v>2277.67</v>
      </c>
      <c r="J737" s="34">
        <v>377.84</v>
      </c>
      <c r="K737" s="34">
        <v>2655.51</v>
      </c>
      <c r="L737" s="33" t="s">
        <v>14</v>
      </c>
      <c r="M737" s="34">
        <f t="shared" si="108"/>
        <v>22.891155778894472</v>
      </c>
      <c r="N737" s="27">
        <v>99.5</v>
      </c>
      <c r="O737" s="34">
        <f>((N737-80)*M737)*0.5</f>
        <v>223.1887688442211</v>
      </c>
      <c r="P737" s="35">
        <f t="shared" si="105"/>
        <v>17.86</v>
      </c>
      <c r="Q737" s="34">
        <f t="shared" si="107"/>
        <v>334.78315326633162</v>
      </c>
      <c r="R737" s="35"/>
    </row>
    <row r="738" spans="1:18" x14ac:dyDescent="0.3">
      <c r="A738" s="32">
        <v>43833</v>
      </c>
      <c r="B738" s="33" t="s">
        <v>56</v>
      </c>
      <c r="C738" s="34">
        <v>1672</v>
      </c>
      <c r="D738" s="36">
        <v>49.5</v>
      </c>
      <c r="E738" s="33">
        <v>331.42</v>
      </c>
      <c r="F738" s="33">
        <v>1672</v>
      </c>
      <c r="G738" s="34">
        <v>331.42</v>
      </c>
      <c r="H738" s="34">
        <v>0</v>
      </c>
      <c r="I738" s="34">
        <v>2003.42</v>
      </c>
      <c r="J738" s="34">
        <v>358.68</v>
      </c>
      <c r="K738" s="34">
        <v>2362.1</v>
      </c>
      <c r="L738" s="33" t="s">
        <v>14</v>
      </c>
      <c r="M738" s="34">
        <f t="shared" si="108"/>
        <v>22.766136363636363</v>
      </c>
      <c r="N738" s="27">
        <v>88</v>
      </c>
      <c r="O738" s="38">
        <f>(M738*0.5)*9.5</f>
        <v>108.13914772727273</v>
      </c>
      <c r="P738" s="35">
        <f t="shared" si="105"/>
        <v>8.65</v>
      </c>
      <c r="Q738" s="34">
        <f t="shared" si="107"/>
        <v>162.20872159090908</v>
      </c>
      <c r="R738" s="35"/>
    </row>
    <row r="739" spans="1:18" x14ac:dyDescent="0.3">
      <c r="A739" s="32">
        <v>43847</v>
      </c>
      <c r="B739" s="33" t="s">
        <v>56</v>
      </c>
      <c r="C739" s="34">
        <v>1401</v>
      </c>
      <c r="D739" s="36">
        <v>41.5</v>
      </c>
      <c r="E739" s="33"/>
      <c r="F739" s="33">
        <v>1501</v>
      </c>
      <c r="G739" s="34">
        <v>232.36</v>
      </c>
      <c r="H739" s="34">
        <v>100</v>
      </c>
      <c r="I739" s="34">
        <v>1733.36</v>
      </c>
      <c r="J739" s="34">
        <v>308.98</v>
      </c>
      <c r="K739" s="34">
        <v>2042.34</v>
      </c>
      <c r="L739" s="33" t="s">
        <v>14</v>
      </c>
      <c r="M739" s="34">
        <f t="shared" si="108"/>
        <v>19</v>
      </c>
      <c r="N739" s="27">
        <v>79</v>
      </c>
      <c r="O739" s="38">
        <f>(M739*0.5)*1.5</f>
        <v>14.25</v>
      </c>
      <c r="P739" s="35">
        <f t="shared" si="105"/>
        <v>1</v>
      </c>
      <c r="Q739" s="34">
        <f t="shared" si="107"/>
        <v>21.375</v>
      </c>
      <c r="R739" s="35"/>
    </row>
    <row r="740" spans="1:18" x14ac:dyDescent="0.3">
      <c r="A740" s="32">
        <v>43861</v>
      </c>
      <c r="B740" s="33" t="s">
        <v>56</v>
      </c>
      <c r="C740" s="34">
        <v>1850</v>
      </c>
      <c r="D740" s="33">
        <v>80</v>
      </c>
      <c r="E740" s="33"/>
      <c r="F740" s="33">
        <v>1900</v>
      </c>
      <c r="G740" s="34">
        <v>310.83999999999997</v>
      </c>
      <c r="H740" s="34">
        <v>50</v>
      </c>
      <c r="I740" s="34">
        <v>2210.84</v>
      </c>
      <c r="J740" s="34">
        <v>348.45</v>
      </c>
      <c r="K740" s="34">
        <v>2559.29</v>
      </c>
      <c r="L740" s="33" t="s">
        <v>14</v>
      </c>
      <c r="M740" s="34">
        <f t="shared" si="108"/>
        <v>19</v>
      </c>
      <c r="N740" s="27">
        <v>100</v>
      </c>
      <c r="O740" s="34">
        <f>((N740-80)*M740)*0.5</f>
        <v>190</v>
      </c>
      <c r="P740" s="35">
        <f t="shared" si="105"/>
        <v>13.3</v>
      </c>
      <c r="Q740" s="34">
        <f t="shared" si="107"/>
        <v>285</v>
      </c>
      <c r="R740" s="35"/>
    </row>
    <row r="741" spans="1:18" x14ac:dyDescent="0.3">
      <c r="A741" s="32">
        <v>43875</v>
      </c>
      <c r="B741" s="33" t="s">
        <v>56</v>
      </c>
      <c r="C741" s="34">
        <v>1726</v>
      </c>
      <c r="D741" s="33">
        <v>80</v>
      </c>
      <c r="E741" s="33"/>
      <c r="F741" s="33">
        <v>1776</v>
      </c>
      <c r="G741" s="34">
        <v>277.35000000000002</v>
      </c>
      <c r="H741" s="34">
        <v>50</v>
      </c>
      <c r="I741" s="34">
        <v>2053.35</v>
      </c>
      <c r="J741" s="34">
        <v>287</v>
      </c>
      <c r="K741" s="34">
        <v>2340.35</v>
      </c>
      <c r="L741" s="33" t="s">
        <v>14</v>
      </c>
      <c r="M741" s="34">
        <f t="shared" si="108"/>
        <v>18.994652406417114</v>
      </c>
      <c r="N741" s="27">
        <v>93.5</v>
      </c>
      <c r="O741" s="34">
        <f>((N741-80)*M741)*0.5</f>
        <v>128.21390374331551</v>
      </c>
      <c r="P741" s="35">
        <f t="shared" si="105"/>
        <v>7.69</v>
      </c>
      <c r="Q741" s="34">
        <f t="shared" si="107"/>
        <v>192.32085561497325</v>
      </c>
      <c r="R741" s="35"/>
    </row>
    <row r="742" spans="1:18" x14ac:dyDescent="0.3">
      <c r="A742" s="32">
        <v>43889</v>
      </c>
      <c r="B742" s="33" t="s">
        <v>56</v>
      </c>
      <c r="C742" s="34">
        <v>1970</v>
      </c>
      <c r="D742" s="33">
        <v>80</v>
      </c>
      <c r="E742" s="33"/>
      <c r="F742" s="33">
        <v>2020</v>
      </c>
      <c r="G742" s="34">
        <v>325.89999999999998</v>
      </c>
      <c r="H742" s="34">
        <v>50</v>
      </c>
      <c r="I742" s="34">
        <v>2345.9</v>
      </c>
      <c r="J742" s="34">
        <v>300.08</v>
      </c>
      <c r="K742" s="34">
        <v>2645.98</v>
      </c>
      <c r="L742" s="33" t="s">
        <v>14</v>
      </c>
      <c r="M742" s="34">
        <f t="shared" si="108"/>
        <v>20</v>
      </c>
      <c r="N742" s="27">
        <v>101</v>
      </c>
      <c r="O742" s="34">
        <f>((N742-80)*M742)*0.5</f>
        <v>210</v>
      </c>
      <c r="P742" s="35">
        <f t="shared" si="105"/>
        <v>12.6</v>
      </c>
      <c r="Q742" s="34">
        <f t="shared" si="107"/>
        <v>315</v>
      </c>
      <c r="R742" s="35"/>
    </row>
    <row r="743" spans="1:18" x14ac:dyDescent="0.3">
      <c r="A743" s="32">
        <v>43903</v>
      </c>
      <c r="B743" s="33" t="s">
        <v>56</v>
      </c>
      <c r="C743" s="34">
        <v>1660</v>
      </c>
      <c r="D743" s="36">
        <v>48</v>
      </c>
      <c r="E743" s="33"/>
      <c r="F743" s="33">
        <v>1710</v>
      </c>
      <c r="G743" s="34">
        <v>264.2</v>
      </c>
      <c r="H743" s="34">
        <v>50</v>
      </c>
      <c r="I743" s="34">
        <v>1974.2</v>
      </c>
      <c r="J743" s="34">
        <v>271.27</v>
      </c>
      <c r="K743" s="34">
        <v>2245.4699999999998</v>
      </c>
      <c r="L743" s="33" t="s">
        <v>14</v>
      </c>
      <c r="M743" s="34">
        <f t="shared" si="108"/>
        <v>20</v>
      </c>
      <c r="N743" s="27">
        <v>85.5</v>
      </c>
      <c r="O743" s="38">
        <f>(M743*0.5)*8</f>
        <v>80</v>
      </c>
      <c r="P743" s="35">
        <f t="shared" si="105"/>
        <v>4</v>
      </c>
      <c r="Q743" s="34">
        <f t="shared" si="107"/>
        <v>120</v>
      </c>
      <c r="R743" s="35"/>
    </row>
    <row r="744" spans="1:18" x14ac:dyDescent="0.3">
      <c r="A744" s="32">
        <v>43917</v>
      </c>
      <c r="B744" s="33" t="s">
        <v>56</v>
      </c>
      <c r="C744" s="34">
        <v>1639.32</v>
      </c>
      <c r="D744" s="36">
        <v>45</v>
      </c>
      <c r="E744" s="33"/>
      <c r="F744" s="36">
        <v>1935</v>
      </c>
      <c r="G744" s="34">
        <v>310.68</v>
      </c>
      <c r="H744" s="34">
        <v>0</v>
      </c>
      <c r="I744" s="34">
        <v>1950</v>
      </c>
      <c r="J744" s="34">
        <v>297.81</v>
      </c>
      <c r="K744" s="34">
        <v>2247.81</v>
      </c>
      <c r="L744" s="33" t="s">
        <v>14</v>
      </c>
      <c r="M744" s="34">
        <f t="shared" si="108"/>
        <v>23.035714285714285</v>
      </c>
      <c r="N744" s="27">
        <v>84</v>
      </c>
      <c r="O744" s="38">
        <f>(M744*0.5)*5</f>
        <v>57.589285714285708</v>
      </c>
      <c r="P744" s="35">
        <f t="shared" si="105"/>
        <v>2.88</v>
      </c>
      <c r="Q744" s="34">
        <f t="shared" si="107"/>
        <v>86.383928571428555</v>
      </c>
      <c r="R744" s="35"/>
    </row>
    <row r="745" spans="1:18" x14ac:dyDescent="0.3">
      <c r="A745" s="32">
        <v>43931</v>
      </c>
      <c r="B745" s="33" t="s">
        <v>56</v>
      </c>
      <c r="C745" s="34">
        <v>800.88</v>
      </c>
      <c r="D745" s="36">
        <v>24</v>
      </c>
      <c r="E745" s="33"/>
      <c r="F745" s="33">
        <v>900</v>
      </c>
      <c r="G745" s="34">
        <v>99.12</v>
      </c>
      <c r="H745" s="34">
        <v>0</v>
      </c>
      <c r="I745" s="34">
        <v>900</v>
      </c>
      <c r="J745" s="34">
        <v>139.82</v>
      </c>
      <c r="K745" s="34">
        <v>1039.82</v>
      </c>
      <c r="L745" s="33" t="s">
        <v>14</v>
      </c>
      <c r="M745" s="34">
        <f t="shared" si="108"/>
        <v>37.5</v>
      </c>
      <c r="N745" s="27">
        <v>24</v>
      </c>
      <c r="O745" s="34">
        <v>0</v>
      </c>
      <c r="P745" s="35">
        <f t="shared" si="105"/>
        <v>0</v>
      </c>
      <c r="Q745" s="34">
        <f t="shared" si="107"/>
        <v>0</v>
      </c>
      <c r="R745" s="35"/>
    </row>
    <row r="746" spans="1:18" x14ac:dyDescent="0.3">
      <c r="A746" s="37" t="s">
        <v>77</v>
      </c>
      <c r="B746" s="33" t="s">
        <v>56</v>
      </c>
      <c r="C746" s="34">
        <v>500.02</v>
      </c>
      <c r="D746" s="33">
        <v>24.63</v>
      </c>
      <c r="E746" s="33"/>
      <c r="F746" s="33">
        <v>554.17999999999995</v>
      </c>
      <c r="G746" s="34">
        <v>54.16</v>
      </c>
      <c r="H746" s="34">
        <v>0</v>
      </c>
      <c r="I746" s="34">
        <v>554.17999999999995</v>
      </c>
      <c r="J746" s="34">
        <v>88.09</v>
      </c>
      <c r="K746" s="34">
        <v>642.27</v>
      </c>
      <c r="L746" s="33" t="s">
        <v>14</v>
      </c>
      <c r="M746" s="34" t="e">
        <f t="shared" si="108"/>
        <v>#DIV/0!</v>
      </c>
      <c r="N746" s="27"/>
      <c r="O746" s="34" t="e">
        <f>((N746-80)*M746)*0.5</f>
        <v>#DIV/0!</v>
      </c>
      <c r="P746" s="35" t="e">
        <f t="shared" si="105"/>
        <v>#VALUE!</v>
      </c>
      <c r="Q746" s="34" t="e">
        <f t="shared" si="107"/>
        <v>#DIV/0!</v>
      </c>
      <c r="R746" s="35"/>
    </row>
    <row r="747" spans="1:18" x14ac:dyDescent="0.3">
      <c r="A747" s="37" t="s">
        <v>77</v>
      </c>
      <c r="B747" s="33" t="s">
        <v>56</v>
      </c>
      <c r="C747" s="34">
        <v>700.04</v>
      </c>
      <c r="D747" s="33">
        <v>32.020000000000003</v>
      </c>
      <c r="E747" s="33"/>
      <c r="F747" s="36">
        <v>720.45</v>
      </c>
      <c r="G747" s="34">
        <v>70.41</v>
      </c>
      <c r="H747" s="34">
        <v>0</v>
      </c>
      <c r="I747" s="34">
        <v>770.45</v>
      </c>
      <c r="J747" s="34">
        <v>114.52</v>
      </c>
      <c r="K747" s="34">
        <v>884.97</v>
      </c>
      <c r="L747" s="33" t="s">
        <v>14</v>
      </c>
      <c r="M747" s="34" t="e">
        <f t="shared" si="108"/>
        <v>#DIV/0!</v>
      </c>
      <c r="N747" s="27"/>
      <c r="O747" s="34" t="e">
        <f>((N747-80)*M747)*0.5</f>
        <v>#DIV/0!</v>
      </c>
      <c r="P747" s="35" t="e">
        <f t="shared" si="105"/>
        <v>#VALUE!</v>
      </c>
      <c r="Q747" s="34" t="e">
        <f t="shared" si="107"/>
        <v>#DIV/0!</v>
      </c>
      <c r="R747" s="35"/>
    </row>
    <row r="748" spans="1:18" x14ac:dyDescent="0.3">
      <c r="A748" s="37" t="s">
        <v>77</v>
      </c>
      <c r="B748" s="33" t="s">
        <v>56</v>
      </c>
      <c r="C748" s="34">
        <v>300</v>
      </c>
      <c r="D748" s="33">
        <v>14.78</v>
      </c>
      <c r="E748" s="33"/>
      <c r="F748" s="33">
        <v>332.5</v>
      </c>
      <c r="G748" s="34">
        <v>32.5</v>
      </c>
      <c r="H748" s="34">
        <v>0</v>
      </c>
      <c r="I748" s="34">
        <v>332.5</v>
      </c>
      <c r="J748" s="34">
        <v>52.87</v>
      </c>
      <c r="K748" s="34">
        <v>385.37</v>
      </c>
      <c r="L748" s="33" t="s">
        <v>14</v>
      </c>
      <c r="M748" s="34" t="e">
        <f t="shared" si="108"/>
        <v>#DIV/0!</v>
      </c>
      <c r="N748" s="27"/>
      <c r="O748" s="34" t="e">
        <f>((N748-80)*M748)*0.5</f>
        <v>#DIV/0!</v>
      </c>
      <c r="P748" s="35" t="e">
        <f t="shared" si="105"/>
        <v>#VALUE!</v>
      </c>
      <c r="Q748" s="34" t="e">
        <f t="shared" si="107"/>
        <v>#DIV/0!</v>
      </c>
      <c r="R748" s="35"/>
    </row>
    <row r="749" spans="1:18" x14ac:dyDescent="0.3">
      <c r="A749" s="32">
        <v>43987</v>
      </c>
      <c r="B749" s="33" t="s">
        <v>56</v>
      </c>
      <c r="C749" s="34">
        <v>1717.48</v>
      </c>
      <c r="D749" s="33">
        <v>87.5</v>
      </c>
      <c r="E749" s="33"/>
      <c r="F749" s="36">
        <v>2053.13</v>
      </c>
      <c r="G749" s="34">
        <v>335.65</v>
      </c>
      <c r="H749" s="34">
        <v>0</v>
      </c>
      <c r="I749" s="34">
        <v>2053.13</v>
      </c>
      <c r="J749" s="34">
        <v>319.51</v>
      </c>
      <c r="K749" s="34">
        <v>2372.64</v>
      </c>
      <c r="L749" s="33" t="s">
        <v>14</v>
      </c>
      <c r="M749" s="34">
        <f t="shared" si="108"/>
        <v>23.46434285714286</v>
      </c>
      <c r="N749" s="27">
        <v>87.5</v>
      </c>
      <c r="O749" s="34">
        <f>((N749-80)*M749)*0.5</f>
        <v>87.991285714285723</v>
      </c>
      <c r="P749" s="35">
        <f t="shared" si="105"/>
        <v>1.76</v>
      </c>
      <c r="Q749" s="34">
        <f t="shared" si="107"/>
        <v>131.98692857142859</v>
      </c>
      <c r="R749" s="35"/>
    </row>
    <row r="750" spans="1:18" x14ac:dyDescent="0.3">
      <c r="A750" s="32">
        <v>43995</v>
      </c>
      <c r="B750" s="33" t="s">
        <v>56</v>
      </c>
      <c r="C750" s="34"/>
      <c r="D750" s="39">
        <v>48</v>
      </c>
      <c r="E750" s="33"/>
      <c r="F750" s="33"/>
      <c r="G750" s="34"/>
      <c r="H750" s="34"/>
      <c r="I750" s="34"/>
      <c r="J750" s="34"/>
      <c r="K750" s="34"/>
      <c r="L750" s="33"/>
      <c r="M750" s="34"/>
      <c r="N750" s="27"/>
      <c r="O750" s="34"/>
      <c r="P750" s="35">
        <f t="shared" si="105"/>
        <v>0</v>
      </c>
      <c r="Q750" s="34"/>
      <c r="R750" s="35"/>
    </row>
    <row r="751" spans="1:18" x14ac:dyDescent="0.3">
      <c r="A751" s="32">
        <v>44009</v>
      </c>
      <c r="B751" s="33" t="s">
        <v>56</v>
      </c>
      <c r="C751" s="34"/>
      <c r="D751" s="39">
        <v>80.5</v>
      </c>
      <c r="E751" s="33"/>
      <c r="F751" s="33"/>
      <c r="G751" s="34"/>
      <c r="H751" s="34"/>
      <c r="I751" s="34"/>
      <c r="J751" s="34"/>
      <c r="K751" s="34"/>
      <c r="L751" s="33"/>
      <c r="M751" s="34"/>
      <c r="N751" s="27"/>
      <c r="O751" s="34"/>
      <c r="P751" s="35">
        <f t="shared" si="105"/>
        <v>0</v>
      </c>
      <c r="Q751" s="34"/>
      <c r="R751" s="35"/>
    </row>
    <row r="752" spans="1:18" x14ac:dyDescent="0.3">
      <c r="A752" s="32">
        <v>44023</v>
      </c>
      <c r="B752" s="33" t="s">
        <v>56</v>
      </c>
      <c r="C752" s="34"/>
      <c r="D752" s="39">
        <v>80</v>
      </c>
      <c r="E752" s="33"/>
      <c r="F752" s="33"/>
      <c r="G752" s="34"/>
      <c r="H752" s="34"/>
      <c r="I752" s="34"/>
      <c r="J752" s="34"/>
      <c r="K752" s="34"/>
      <c r="L752" s="33"/>
      <c r="M752" s="34"/>
      <c r="N752" s="27"/>
      <c r="O752" s="34"/>
      <c r="P752" s="35">
        <f t="shared" si="105"/>
        <v>0</v>
      </c>
      <c r="Q752" s="34"/>
      <c r="R752" s="35"/>
    </row>
    <row r="753" spans="1:18" x14ac:dyDescent="0.3">
      <c r="A753" s="32">
        <v>43875</v>
      </c>
      <c r="B753" s="33" t="s">
        <v>57</v>
      </c>
      <c r="C753" s="34">
        <v>1822</v>
      </c>
      <c r="D753" s="36">
        <v>53</v>
      </c>
      <c r="E753" s="33"/>
      <c r="F753" s="33">
        <v>1872</v>
      </c>
      <c r="G753" s="34">
        <v>181.61</v>
      </c>
      <c r="H753" s="34">
        <v>50</v>
      </c>
      <c r="I753" s="34">
        <v>2053.61</v>
      </c>
      <c r="J753" s="34">
        <v>297.55</v>
      </c>
      <c r="K753" s="34">
        <v>2351.16</v>
      </c>
      <c r="L753" s="33" t="s">
        <v>14</v>
      </c>
      <c r="M753" s="34">
        <f t="shared" ref="M753:M761" si="109">(E753+F753)/N753</f>
        <v>24</v>
      </c>
      <c r="N753" s="27">
        <v>78</v>
      </c>
      <c r="O753" s="38">
        <f>(M753*0.5)*13</f>
        <v>156</v>
      </c>
      <c r="P753" s="35">
        <f t="shared" si="105"/>
        <v>9.36</v>
      </c>
      <c r="Q753" s="34">
        <f t="shared" ref="Q753:Q761" si="110">O753*1.5</f>
        <v>234</v>
      </c>
      <c r="R753" s="35">
        <v>409.55</v>
      </c>
    </row>
    <row r="754" spans="1:18" x14ac:dyDescent="0.3">
      <c r="A754" s="32">
        <v>43889</v>
      </c>
      <c r="B754" s="33" t="s">
        <v>57</v>
      </c>
      <c r="C754" s="34">
        <v>2386</v>
      </c>
      <c r="D754" s="33">
        <v>80</v>
      </c>
      <c r="E754" s="33"/>
      <c r="F754" s="33">
        <v>2436</v>
      </c>
      <c r="G754" s="34">
        <v>226.2</v>
      </c>
      <c r="H754" s="34">
        <v>50</v>
      </c>
      <c r="I754" s="34">
        <v>2662.2</v>
      </c>
      <c r="J754" s="34">
        <v>353.36</v>
      </c>
      <c r="K754" s="34">
        <v>3015.56</v>
      </c>
      <c r="L754" s="33" t="s">
        <v>14</v>
      </c>
      <c r="M754" s="34">
        <f t="shared" si="109"/>
        <v>24</v>
      </c>
      <c r="N754" s="27">
        <v>101.5</v>
      </c>
      <c r="O754" s="34">
        <f>((N754-80)*M754)*0.5</f>
        <v>258</v>
      </c>
      <c r="P754" s="35">
        <f t="shared" si="105"/>
        <v>15.48</v>
      </c>
      <c r="Q754" s="34">
        <f t="shared" si="110"/>
        <v>387</v>
      </c>
      <c r="R754" s="35"/>
    </row>
    <row r="755" spans="1:18" x14ac:dyDescent="0.3">
      <c r="A755" s="32">
        <v>43903</v>
      </c>
      <c r="B755" s="33" t="s">
        <v>57</v>
      </c>
      <c r="C755" s="34">
        <v>2266</v>
      </c>
      <c r="D755" s="33">
        <v>80</v>
      </c>
      <c r="E755" s="33"/>
      <c r="F755" s="33">
        <v>2316</v>
      </c>
      <c r="G755" s="34">
        <v>216.7</v>
      </c>
      <c r="H755" s="34">
        <v>50</v>
      </c>
      <c r="I755" s="34">
        <v>2532.6999999999998</v>
      </c>
      <c r="J755" s="34">
        <v>341.46</v>
      </c>
      <c r="K755" s="34">
        <v>2874.16</v>
      </c>
      <c r="L755" s="33" t="s">
        <v>14</v>
      </c>
      <c r="M755" s="34">
        <f t="shared" si="109"/>
        <v>24</v>
      </c>
      <c r="N755" s="27">
        <v>96.5</v>
      </c>
      <c r="O755" s="34">
        <f>((N755-80)*M755)*0.5</f>
        <v>198</v>
      </c>
      <c r="P755" s="35">
        <f t="shared" si="105"/>
        <v>9.9</v>
      </c>
      <c r="Q755" s="34">
        <f t="shared" si="110"/>
        <v>297</v>
      </c>
      <c r="R755" s="35"/>
    </row>
    <row r="756" spans="1:18" x14ac:dyDescent="0.3">
      <c r="A756" s="32">
        <v>43917</v>
      </c>
      <c r="B756" s="33" t="s">
        <v>57</v>
      </c>
      <c r="C756" s="34">
        <v>2107.7399999999998</v>
      </c>
      <c r="D756" s="36">
        <v>45</v>
      </c>
      <c r="E756" s="33"/>
      <c r="F756" s="36">
        <v>2365</v>
      </c>
      <c r="G756" s="34">
        <v>222.26</v>
      </c>
      <c r="H756" s="34">
        <v>35</v>
      </c>
      <c r="I756" s="34">
        <v>2365</v>
      </c>
      <c r="J756" s="34">
        <v>340</v>
      </c>
      <c r="K756" s="34">
        <v>2705</v>
      </c>
      <c r="L756" s="33" t="s">
        <v>14</v>
      </c>
      <c r="M756" s="34">
        <f t="shared" si="109"/>
        <v>28.154761904761905</v>
      </c>
      <c r="N756" s="27">
        <v>84</v>
      </c>
      <c r="O756" s="38">
        <f>(M756*0.5)*5</f>
        <v>70.386904761904759</v>
      </c>
      <c r="P756" s="35">
        <f t="shared" si="105"/>
        <v>3.52</v>
      </c>
      <c r="Q756" s="34">
        <f t="shared" si="110"/>
        <v>105.58035714285714</v>
      </c>
      <c r="R756" s="35"/>
    </row>
    <row r="757" spans="1:18" x14ac:dyDescent="0.3">
      <c r="A757" s="32">
        <v>43931</v>
      </c>
      <c r="B757" s="33" t="s">
        <v>57</v>
      </c>
      <c r="C757" s="34">
        <v>996.23</v>
      </c>
      <c r="D757" s="36">
        <v>16</v>
      </c>
      <c r="E757" s="33"/>
      <c r="F757" s="33">
        <v>1100</v>
      </c>
      <c r="G757" s="34">
        <v>103.77</v>
      </c>
      <c r="H757" s="34">
        <v>0</v>
      </c>
      <c r="I757" s="34">
        <v>1100</v>
      </c>
      <c r="J757" s="34">
        <v>158.4</v>
      </c>
      <c r="K757" s="34">
        <v>1258.4000000000001</v>
      </c>
      <c r="L757" s="33" t="s">
        <v>14</v>
      </c>
      <c r="M757" s="34">
        <f t="shared" si="109"/>
        <v>68.75</v>
      </c>
      <c r="N757" s="27">
        <v>16</v>
      </c>
      <c r="O757" s="34">
        <v>0</v>
      </c>
      <c r="P757" s="35">
        <f t="shared" si="105"/>
        <v>0</v>
      </c>
      <c r="Q757" s="34">
        <f t="shared" si="110"/>
        <v>0</v>
      </c>
      <c r="R757" s="35"/>
    </row>
    <row r="758" spans="1:18" x14ac:dyDescent="0.3">
      <c r="A758" s="37" t="s">
        <v>77</v>
      </c>
      <c r="B758" s="33" t="s">
        <v>57</v>
      </c>
      <c r="C758" s="34">
        <v>500.11</v>
      </c>
      <c r="D758" s="33">
        <v>20.079999999999998</v>
      </c>
      <c r="E758" s="33"/>
      <c r="F758" s="33">
        <v>552</v>
      </c>
      <c r="G758" s="34">
        <v>52.09</v>
      </c>
      <c r="H758" s="34">
        <v>0</v>
      </c>
      <c r="I758" s="34">
        <v>552.20000000000005</v>
      </c>
      <c r="J758" s="34">
        <v>79.63</v>
      </c>
      <c r="K758" s="34">
        <v>631.83000000000004</v>
      </c>
      <c r="L758" s="33" t="s">
        <v>14</v>
      </c>
      <c r="M758" s="34" t="e">
        <f t="shared" si="109"/>
        <v>#DIV/0!</v>
      </c>
      <c r="N758" s="27"/>
      <c r="O758" s="34" t="e">
        <f>((N758-80)*M758)*0.5</f>
        <v>#DIV/0!</v>
      </c>
      <c r="P758" s="35" t="e">
        <f t="shared" si="105"/>
        <v>#VALUE!</v>
      </c>
      <c r="Q758" s="34" t="e">
        <f t="shared" si="110"/>
        <v>#DIV/0!</v>
      </c>
      <c r="R758" s="35"/>
    </row>
    <row r="759" spans="1:18" x14ac:dyDescent="0.3">
      <c r="A759" s="37" t="s">
        <v>77</v>
      </c>
      <c r="B759" s="33" t="s">
        <v>57</v>
      </c>
      <c r="C759" s="34">
        <v>700.1</v>
      </c>
      <c r="D759" s="33">
        <v>28.11</v>
      </c>
      <c r="E759" s="33"/>
      <c r="F759" s="33">
        <v>773.03</v>
      </c>
      <c r="G759" s="34">
        <v>72.930000000000007</v>
      </c>
      <c r="H759" s="34">
        <v>0</v>
      </c>
      <c r="I759" s="34">
        <v>773.03</v>
      </c>
      <c r="J759" s="34">
        <v>111.48</v>
      </c>
      <c r="K759" s="34">
        <v>884.51</v>
      </c>
      <c r="L759" s="33" t="s">
        <v>14</v>
      </c>
      <c r="M759" s="34" t="e">
        <f t="shared" si="109"/>
        <v>#DIV/0!</v>
      </c>
      <c r="N759" s="27"/>
      <c r="O759" s="34" t="e">
        <f>((N759-80)*M759)*0.5</f>
        <v>#DIV/0!</v>
      </c>
      <c r="P759" s="35" t="e">
        <f t="shared" si="105"/>
        <v>#VALUE!</v>
      </c>
      <c r="Q759" s="34" t="e">
        <f t="shared" si="110"/>
        <v>#DIV/0!</v>
      </c>
      <c r="R759" s="35"/>
    </row>
    <row r="760" spans="1:18" x14ac:dyDescent="0.3">
      <c r="A760" s="32">
        <v>43973</v>
      </c>
      <c r="B760" s="33" t="s">
        <v>57</v>
      </c>
      <c r="C760" s="34">
        <v>996.23</v>
      </c>
      <c r="D760" s="36">
        <v>40</v>
      </c>
      <c r="E760" s="33"/>
      <c r="F760" s="33">
        <v>1100</v>
      </c>
      <c r="G760" s="34">
        <v>103.77</v>
      </c>
      <c r="H760" s="34">
        <v>0</v>
      </c>
      <c r="I760" s="34">
        <v>1100</v>
      </c>
      <c r="J760" s="34">
        <v>158.62</v>
      </c>
      <c r="K760" s="34">
        <v>1258.6199999999999</v>
      </c>
      <c r="L760" s="33" t="s">
        <v>14</v>
      </c>
      <c r="M760" s="34">
        <f t="shared" si="109"/>
        <v>27.5</v>
      </c>
      <c r="N760" s="27">
        <v>40</v>
      </c>
      <c r="O760" s="34">
        <v>0</v>
      </c>
      <c r="P760" s="35">
        <f t="shared" si="105"/>
        <v>0</v>
      </c>
      <c r="Q760" s="34">
        <f t="shared" si="110"/>
        <v>0</v>
      </c>
      <c r="R760" s="35"/>
    </row>
    <row r="761" spans="1:18" x14ac:dyDescent="0.3">
      <c r="A761" s="32">
        <v>43987</v>
      </c>
      <c r="B761" s="33" t="s">
        <v>57</v>
      </c>
      <c r="C761" s="34">
        <v>1905.82</v>
      </c>
      <c r="D761" s="36">
        <v>72.5</v>
      </c>
      <c r="E761" s="33"/>
      <c r="F761" s="33">
        <v>2102</v>
      </c>
      <c r="G761" s="34">
        <v>196.68</v>
      </c>
      <c r="H761" s="34">
        <v>0</v>
      </c>
      <c r="I761" s="34">
        <v>2102.5</v>
      </c>
      <c r="J761" s="34">
        <v>295.95999999999998</v>
      </c>
      <c r="K761" s="34">
        <v>2398.46</v>
      </c>
      <c r="L761" s="33" t="s">
        <v>14</v>
      </c>
      <c r="M761" s="34">
        <f t="shared" si="109"/>
        <v>28.993103448275861</v>
      </c>
      <c r="N761" s="27">
        <v>72.5</v>
      </c>
      <c r="O761" s="34">
        <v>0</v>
      </c>
      <c r="P761" s="35">
        <f t="shared" si="105"/>
        <v>0</v>
      </c>
      <c r="Q761" s="34">
        <f t="shared" si="110"/>
        <v>0</v>
      </c>
      <c r="R761" s="35"/>
    </row>
    <row r="762" spans="1:18" x14ac:dyDescent="0.3">
      <c r="A762" s="32">
        <v>43995</v>
      </c>
      <c r="B762" s="33" t="s">
        <v>57</v>
      </c>
      <c r="C762" s="34"/>
      <c r="D762" s="31">
        <v>80</v>
      </c>
      <c r="E762" s="33"/>
      <c r="F762" s="33"/>
      <c r="G762" s="34"/>
      <c r="H762" s="34"/>
      <c r="I762" s="34"/>
      <c r="J762" s="34"/>
      <c r="K762" s="34"/>
      <c r="L762" s="33"/>
      <c r="M762" s="34"/>
      <c r="N762" s="27"/>
      <c r="O762" s="34"/>
      <c r="P762" s="35">
        <f t="shared" si="105"/>
        <v>0</v>
      </c>
      <c r="Q762" s="34"/>
      <c r="R762" s="35"/>
    </row>
    <row r="763" spans="1:18" x14ac:dyDescent="0.3">
      <c r="A763" s="32">
        <v>44009</v>
      </c>
      <c r="B763" s="33" t="s">
        <v>57</v>
      </c>
      <c r="C763" s="34"/>
      <c r="D763" s="31">
        <v>91.5</v>
      </c>
      <c r="E763" s="33"/>
      <c r="F763" s="33"/>
      <c r="G763" s="34"/>
      <c r="H763" s="34"/>
      <c r="I763" s="34"/>
      <c r="J763" s="34"/>
      <c r="K763" s="34"/>
      <c r="L763" s="33"/>
      <c r="M763" s="34"/>
      <c r="N763" s="27"/>
      <c r="O763" s="34"/>
      <c r="P763" s="35">
        <f t="shared" si="105"/>
        <v>0</v>
      </c>
      <c r="Q763" s="34"/>
      <c r="R763" s="35"/>
    </row>
    <row r="764" spans="1:18" x14ac:dyDescent="0.3">
      <c r="A764" s="32">
        <v>44023</v>
      </c>
      <c r="B764" s="33" t="s">
        <v>57</v>
      </c>
      <c r="C764" s="34"/>
      <c r="D764" s="31">
        <v>101.5</v>
      </c>
      <c r="E764" s="33"/>
      <c r="F764" s="33"/>
      <c r="G764" s="34"/>
      <c r="H764" s="34"/>
      <c r="I764" s="34"/>
      <c r="J764" s="34"/>
      <c r="K764" s="34"/>
      <c r="L764" s="33"/>
      <c r="M764" s="34"/>
      <c r="N764" s="27"/>
      <c r="O764" s="34"/>
      <c r="P764" s="35">
        <f t="shared" si="105"/>
        <v>0</v>
      </c>
      <c r="Q764" s="34"/>
      <c r="R764" s="35"/>
    </row>
    <row r="765" spans="1:18" x14ac:dyDescent="0.3">
      <c r="A765" s="32">
        <v>43154</v>
      </c>
      <c r="B765" s="33" t="s">
        <v>58</v>
      </c>
      <c r="C765" s="34"/>
      <c r="D765" s="31">
        <v>36</v>
      </c>
      <c r="E765" s="33"/>
      <c r="F765" s="33"/>
      <c r="G765" s="34"/>
      <c r="H765" s="34"/>
      <c r="I765" s="34"/>
      <c r="J765" s="34"/>
      <c r="K765" s="34"/>
      <c r="L765" s="33"/>
      <c r="M765" s="34"/>
      <c r="N765" s="27"/>
      <c r="O765" s="34"/>
      <c r="P765" s="35">
        <f t="shared" si="105"/>
        <v>0</v>
      </c>
      <c r="Q765" s="34"/>
      <c r="R765" s="35"/>
    </row>
    <row r="766" spans="1:18" x14ac:dyDescent="0.3">
      <c r="A766" s="32">
        <v>43169</v>
      </c>
      <c r="B766" s="33" t="s">
        <v>58</v>
      </c>
      <c r="C766" s="34"/>
      <c r="D766" s="31">
        <v>53</v>
      </c>
      <c r="E766" s="33"/>
      <c r="F766" s="33"/>
      <c r="G766" s="34"/>
      <c r="H766" s="34"/>
      <c r="I766" s="34"/>
      <c r="J766" s="34"/>
      <c r="K766" s="34"/>
      <c r="L766" s="33"/>
      <c r="M766" s="34"/>
      <c r="N766" s="27"/>
      <c r="O766" s="34"/>
      <c r="P766" s="35">
        <f t="shared" si="105"/>
        <v>0</v>
      </c>
      <c r="Q766" s="34"/>
      <c r="R766" s="35"/>
    </row>
    <row r="767" spans="1:18" x14ac:dyDescent="0.3">
      <c r="A767" s="32">
        <v>43197</v>
      </c>
      <c r="B767" s="33" t="s">
        <v>58</v>
      </c>
      <c r="C767" s="34"/>
      <c r="D767" s="31">
        <v>106</v>
      </c>
      <c r="E767" s="33"/>
      <c r="F767" s="33"/>
      <c r="G767" s="34"/>
      <c r="H767" s="34"/>
      <c r="I767" s="34"/>
      <c r="J767" s="34"/>
      <c r="K767" s="34"/>
      <c r="L767" s="33"/>
      <c r="M767" s="34"/>
      <c r="N767" s="27"/>
      <c r="O767" s="34"/>
      <c r="P767" s="35">
        <f t="shared" si="105"/>
        <v>0</v>
      </c>
      <c r="Q767" s="34"/>
      <c r="R767" s="35"/>
    </row>
    <row r="768" spans="1:18" x14ac:dyDescent="0.3">
      <c r="A768" s="32">
        <v>43211</v>
      </c>
      <c r="B768" s="33" t="s">
        <v>58</v>
      </c>
      <c r="C768" s="34"/>
      <c r="D768" s="31">
        <v>106</v>
      </c>
      <c r="E768" s="33"/>
      <c r="F768" s="33"/>
      <c r="G768" s="34"/>
      <c r="H768" s="34"/>
      <c r="I768" s="34"/>
      <c r="J768" s="34"/>
      <c r="K768" s="34"/>
      <c r="L768" s="33"/>
      <c r="M768" s="34"/>
      <c r="N768" s="27"/>
      <c r="O768" s="34"/>
      <c r="P768" s="35">
        <f t="shared" si="105"/>
        <v>0</v>
      </c>
      <c r="Q768" s="34"/>
      <c r="R768" s="35"/>
    </row>
    <row r="769" spans="1:18" x14ac:dyDescent="0.3">
      <c r="A769" s="32">
        <v>43225</v>
      </c>
      <c r="B769" s="33" t="s">
        <v>58</v>
      </c>
      <c r="C769" s="34"/>
      <c r="D769" s="31">
        <v>106</v>
      </c>
      <c r="E769" s="33"/>
      <c r="F769" s="33"/>
      <c r="G769" s="34"/>
      <c r="H769" s="34"/>
      <c r="I769" s="34"/>
      <c r="J769" s="34"/>
      <c r="K769" s="34"/>
      <c r="L769" s="33"/>
      <c r="M769" s="34"/>
      <c r="N769" s="27"/>
      <c r="O769" s="34"/>
      <c r="P769" s="35">
        <f t="shared" ref="P769:P832" si="111">ROUND(((ROUNDDOWN(($T$1-A769)/30,0))/100)*O769,2)</f>
        <v>0</v>
      </c>
      <c r="Q769" s="34"/>
      <c r="R769" s="35"/>
    </row>
    <row r="770" spans="1:18" x14ac:dyDescent="0.3">
      <c r="A770" s="32">
        <v>43239</v>
      </c>
      <c r="B770" s="33" t="s">
        <v>58</v>
      </c>
      <c r="C770" s="34"/>
      <c r="D770" s="31">
        <v>93</v>
      </c>
      <c r="E770" s="33"/>
      <c r="F770" s="33"/>
      <c r="G770" s="34"/>
      <c r="H770" s="34"/>
      <c r="I770" s="34"/>
      <c r="J770" s="34"/>
      <c r="K770" s="34"/>
      <c r="L770" s="33"/>
      <c r="M770" s="34"/>
      <c r="N770" s="27"/>
      <c r="O770" s="34"/>
      <c r="P770" s="35">
        <f t="shared" si="111"/>
        <v>0</v>
      </c>
      <c r="Q770" s="34"/>
      <c r="R770" s="35"/>
    </row>
    <row r="771" spans="1:18" x14ac:dyDescent="0.3">
      <c r="A771" s="32">
        <v>43253</v>
      </c>
      <c r="B771" s="33" t="s">
        <v>58</v>
      </c>
      <c r="C771" s="34"/>
      <c r="D771" s="31">
        <v>92</v>
      </c>
      <c r="E771" s="33"/>
      <c r="F771" s="33"/>
      <c r="G771" s="34"/>
      <c r="H771" s="34"/>
      <c r="I771" s="34"/>
      <c r="J771" s="34"/>
      <c r="K771" s="34"/>
      <c r="L771" s="33"/>
      <c r="M771" s="34"/>
      <c r="N771" s="27"/>
      <c r="O771" s="34"/>
      <c r="P771" s="35">
        <f t="shared" si="111"/>
        <v>0</v>
      </c>
      <c r="Q771" s="34"/>
      <c r="R771" s="35"/>
    </row>
    <row r="772" spans="1:18" x14ac:dyDescent="0.3">
      <c r="A772" s="32">
        <v>43267</v>
      </c>
      <c r="B772" s="33" t="s">
        <v>58</v>
      </c>
      <c r="C772" s="34"/>
      <c r="D772" s="31">
        <v>106</v>
      </c>
      <c r="E772" s="33"/>
      <c r="F772" s="33"/>
      <c r="G772" s="34"/>
      <c r="H772" s="34"/>
      <c r="I772" s="34"/>
      <c r="J772" s="34"/>
      <c r="K772" s="34"/>
      <c r="L772" s="33"/>
      <c r="M772" s="34"/>
      <c r="N772" s="27"/>
      <c r="O772" s="34"/>
      <c r="P772" s="35">
        <f t="shared" si="111"/>
        <v>0</v>
      </c>
      <c r="Q772" s="34"/>
      <c r="R772" s="35"/>
    </row>
    <row r="773" spans="1:18" x14ac:dyDescent="0.3">
      <c r="A773" s="32">
        <v>43281</v>
      </c>
      <c r="B773" s="33" t="s">
        <v>58</v>
      </c>
      <c r="C773" s="34"/>
      <c r="D773" s="31">
        <v>103</v>
      </c>
      <c r="E773" s="33"/>
      <c r="F773" s="33"/>
      <c r="G773" s="34"/>
      <c r="H773" s="34"/>
      <c r="I773" s="34"/>
      <c r="J773" s="34"/>
      <c r="K773" s="34"/>
      <c r="L773" s="33"/>
      <c r="M773" s="34"/>
      <c r="N773" s="27"/>
      <c r="O773" s="34"/>
      <c r="P773" s="35">
        <f t="shared" si="111"/>
        <v>0</v>
      </c>
      <c r="Q773" s="34"/>
      <c r="R773" s="35"/>
    </row>
    <row r="774" spans="1:18" x14ac:dyDescent="0.3">
      <c r="A774" s="32">
        <v>43295</v>
      </c>
      <c r="B774" s="33" t="s">
        <v>58</v>
      </c>
      <c r="C774" s="34"/>
      <c r="D774" s="31">
        <v>72</v>
      </c>
      <c r="E774" s="33"/>
      <c r="F774" s="33"/>
      <c r="G774" s="34"/>
      <c r="H774" s="34"/>
      <c r="I774" s="34"/>
      <c r="J774" s="34"/>
      <c r="K774" s="34"/>
      <c r="L774" s="33"/>
      <c r="M774" s="34"/>
      <c r="N774" s="27"/>
      <c r="O774" s="34"/>
      <c r="P774" s="35">
        <f t="shared" si="111"/>
        <v>0</v>
      </c>
      <c r="Q774" s="34"/>
      <c r="R774" s="35"/>
    </row>
    <row r="775" spans="1:18" x14ac:dyDescent="0.3">
      <c r="A775" s="32">
        <v>43309</v>
      </c>
      <c r="B775" s="33" t="s">
        <v>58</v>
      </c>
      <c r="C775" s="34"/>
      <c r="D775" s="31">
        <v>87</v>
      </c>
      <c r="E775" s="33"/>
      <c r="F775" s="33"/>
      <c r="G775" s="34"/>
      <c r="H775" s="34"/>
      <c r="I775" s="34"/>
      <c r="J775" s="34"/>
      <c r="K775" s="34"/>
      <c r="L775" s="33"/>
      <c r="M775" s="34"/>
      <c r="N775" s="27"/>
      <c r="O775" s="34"/>
      <c r="P775" s="35">
        <f t="shared" si="111"/>
        <v>0</v>
      </c>
      <c r="Q775" s="34"/>
      <c r="R775" s="35"/>
    </row>
    <row r="776" spans="1:18" x14ac:dyDescent="0.3">
      <c r="A776" s="32">
        <v>43323</v>
      </c>
      <c r="B776" s="33" t="s">
        <v>58</v>
      </c>
      <c r="C776" s="34"/>
      <c r="D776" s="31">
        <v>89</v>
      </c>
      <c r="E776" s="33"/>
      <c r="F776" s="33"/>
      <c r="G776" s="34"/>
      <c r="H776" s="34"/>
      <c r="I776" s="34"/>
      <c r="J776" s="34"/>
      <c r="K776" s="34"/>
      <c r="L776" s="33"/>
      <c r="M776" s="34"/>
      <c r="N776" s="27"/>
      <c r="O776" s="34"/>
      <c r="P776" s="35">
        <f t="shared" si="111"/>
        <v>0</v>
      </c>
      <c r="Q776" s="34"/>
      <c r="R776" s="35"/>
    </row>
    <row r="777" spans="1:18" x14ac:dyDescent="0.3">
      <c r="A777" s="32">
        <v>43337</v>
      </c>
      <c r="B777" s="33" t="s">
        <v>58</v>
      </c>
      <c r="C777" s="34"/>
      <c r="D777" s="31">
        <v>45</v>
      </c>
      <c r="E777" s="33"/>
      <c r="F777" s="33"/>
      <c r="G777" s="34"/>
      <c r="H777" s="34"/>
      <c r="I777" s="34"/>
      <c r="J777" s="34"/>
      <c r="K777" s="34"/>
      <c r="L777" s="33"/>
      <c r="M777" s="34"/>
      <c r="N777" s="27"/>
      <c r="O777" s="34"/>
      <c r="P777" s="35">
        <f t="shared" si="111"/>
        <v>0</v>
      </c>
      <c r="Q777" s="34"/>
      <c r="R777" s="35"/>
    </row>
    <row r="778" spans="1:18" x14ac:dyDescent="0.3">
      <c r="A778" s="32">
        <v>43351</v>
      </c>
      <c r="B778" s="33" t="s">
        <v>58</v>
      </c>
      <c r="C778" s="34"/>
      <c r="D778" s="31">
        <v>83</v>
      </c>
      <c r="E778" s="33"/>
      <c r="F778" s="33"/>
      <c r="G778" s="34"/>
      <c r="H778" s="34"/>
      <c r="I778" s="34"/>
      <c r="J778" s="34"/>
      <c r="K778" s="34"/>
      <c r="L778" s="33"/>
      <c r="M778" s="34"/>
      <c r="N778" s="27"/>
      <c r="O778" s="34"/>
      <c r="P778" s="35">
        <f t="shared" si="111"/>
        <v>0</v>
      </c>
      <c r="Q778" s="34"/>
      <c r="R778" s="35"/>
    </row>
    <row r="779" spans="1:18" x14ac:dyDescent="0.3">
      <c r="A779" s="32">
        <v>43365</v>
      </c>
      <c r="B779" s="33" t="s">
        <v>58</v>
      </c>
      <c r="C779" s="34"/>
      <c r="D779" s="31">
        <v>111.5</v>
      </c>
      <c r="E779" s="33"/>
      <c r="F779" s="33"/>
      <c r="G779" s="34"/>
      <c r="H779" s="34"/>
      <c r="I779" s="34"/>
      <c r="J779" s="34"/>
      <c r="K779" s="34"/>
      <c r="L779" s="33"/>
      <c r="M779" s="34"/>
      <c r="N779" s="27"/>
      <c r="O779" s="34"/>
      <c r="P779" s="35">
        <f t="shared" si="111"/>
        <v>0</v>
      </c>
      <c r="Q779" s="34"/>
      <c r="R779" s="35"/>
    </row>
    <row r="780" spans="1:18" x14ac:dyDescent="0.3">
      <c r="A780" s="32">
        <v>43379</v>
      </c>
      <c r="B780" s="33" t="s">
        <v>58</v>
      </c>
      <c r="C780" s="34"/>
      <c r="D780" s="31">
        <v>99.75</v>
      </c>
      <c r="E780" s="33"/>
      <c r="F780" s="33"/>
      <c r="G780" s="34"/>
      <c r="H780" s="34"/>
      <c r="I780" s="34"/>
      <c r="J780" s="34"/>
      <c r="K780" s="34"/>
      <c r="L780" s="33"/>
      <c r="M780" s="34"/>
      <c r="N780" s="27"/>
      <c r="O780" s="34"/>
      <c r="P780" s="35">
        <f t="shared" si="111"/>
        <v>0</v>
      </c>
      <c r="Q780" s="34"/>
      <c r="R780" s="35"/>
    </row>
    <row r="781" spans="1:18" x14ac:dyDescent="0.3">
      <c r="A781" s="32">
        <v>43393</v>
      </c>
      <c r="B781" s="33" t="s">
        <v>58</v>
      </c>
      <c r="C781" s="34"/>
      <c r="D781" s="31">
        <v>116</v>
      </c>
      <c r="E781" s="33"/>
      <c r="F781" s="33"/>
      <c r="G781" s="34"/>
      <c r="H781" s="34"/>
      <c r="I781" s="34"/>
      <c r="J781" s="34"/>
      <c r="K781" s="34"/>
      <c r="L781" s="33"/>
      <c r="M781" s="34"/>
      <c r="N781" s="27"/>
      <c r="O781" s="34"/>
      <c r="P781" s="35">
        <f t="shared" si="111"/>
        <v>0</v>
      </c>
      <c r="Q781" s="34"/>
      <c r="R781" s="35"/>
    </row>
    <row r="782" spans="1:18" x14ac:dyDescent="0.3">
      <c r="A782" s="32">
        <v>43407</v>
      </c>
      <c r="B782" s="33" t="s">
        <v>58</v>
      </c>
      <c r="C782" s="34"/>
      <c r="D782" s="31">
        <v>103</v>
      </c>
      <c r="E782" s="33"/>
      <c r="F782" s="33"/>
      <c r="G782" s="34"/>
      <c r="H782" s="34"/>
      <c r="I782" s="34"/>
      <c r="J782" s="34"/>
      <c r="K782" s="34"/>
      <c r="L782" s="33"/>
      <c r="M782" s="34"/>
      <c r="N782" s="27"/>
      <c r="O782" s="34"/>
      <c r="P782" s="35">
        <f t="shared" si="111"/>
        <v>0</v>
      </c>
      <c r="Q782" s="34"/>
      <c r="R782" s="35"/>
    </row>
    <row r="783" spans="1:18" x14ac:dyDescent="0.3">
      <c r="A783" s="32">
        <v>43421</v>
      </c>
      <c r="B783" s="33" t="s">
        <v>58</v>
      </c>
      <c r="C783" s="34"/>
      <c r="D783" s="31">
        <v>96</v>
      </c>
      <c r="E783" s="33"/>
      <c r="F783" s="33"/>
      <c r="G783" s="34"/>
      <c r="H783" s="34"/>
      <c r="I783" s="34"/>
      <c r="J783" s="34"/>
      <c r="K783" s="34"/>
      <c r="L783" s="33"/>
      <c r="M783" s="34"/>
      <c r="N783" s="27"/>
      <c r="O783" s="34"/>
      <c r="P783" s="35">
        <f t="shared" si="111"/>
        <v>0</v>
      </c>
      <c r="Q783" s="34"/>
      <c r="R783" s="35"/>
    </row>
    <row r="784" spans="1:18" x14ac:dyDescent="0.3">
      <c r="A784" s="32">
        <v>43435</v>
      </c>
      <c r="B784" s="33" t="s">
        <v>58</v>
      </c>
      <c r="C784" s="34"/>
      <c r="D784" s="31">
        <v>24</v>
      </c>
      <c r="E784" s="33"/>
      <c r="F784" s="33"/>
      <c r="G784" s="34"/>
      <c r="H784" s="34"/>
      <c r="I784" s="34"/>
      <c r="J784" s="34"/>
      <c r="K784" s="34"/>
      <c r="L784" s="33"/>
      <c r="M784" s="34"/>
      <c r="N784" s="27"/>
      <c r="O784" s="34"/>
      <c r="P784" s="35">
        <f t="shared" si="111"/>
        <v>0</v>
      </c>
      <c r="Q784" s="34"/>
      <c r="R784" s="35"/>
    </row>
    <row r="785" spans="1:18" x14ac:dyDescent="0.3">
      <c r="A785" s="32">
        <v>43497</v>
      </c>
      <c r="B785" s="33" t="s">
        <v>58</v>
      </c>
      <c r="C785" s="34">
        <v>2170</v>
      </c>
      <c r="D785" s="33">
        <v>80</v>
      </c>
      <c r="E785" s="33">
        <v>566.59</v>
      </c>
      <c r="F785" s="33">
        <v>2610</v>
      </c>
      <c r="G785" s="34">
        <v>566.59</v>
      </c>
      <c r="H785" s="34">
        <v>440</v>
      </c>
      <c r="I785" s="34">
        <v>3176.59</v>
      </c>
      <c r="J785" s="34">
        <v>480.11</v>
      </c>
      <c r="K785" s="34">
        <v>3656.7</v>
      </c>
      <c r="L785" s="33">
        <v>100146</v>
      </c>
      <c r="M785" s="34">
        <f t="shared" ref="M785:M816" si="112">(E785+F785)/N785</f>
        <v>27.987577092511014</v>
      </c>
      <c r="N785" s="27">
        <v>113.5</v>
      </c>
      <c r="O785" s="34">
        <f>((N785-80)*M785)*0.5</f>
        <v>468.79191629955949</v>
      </c>
      <c r="P785" s="35">
        <f t="shared" si="111"/>
        <v>89.07</v>
      </c>
      <c r="Q785" s="34">
        <f t="shared" ref="Q785:Q816" si="113">O785*1.5</f>
        <v>703.18787444933923</v>
      </c>
      <c r="R785" s="35">
        <v>409.55</v>
      </c>
    </row>
    <row r="786" spans="1:18" x14ac:dyDescent="0.3">
      <c r="A786" s="32">
        <v>43511</v>
      </c>
      <c r="B786" s="33" t="s">
        <v>58</v>
      </c>
      <c r="C786" s="34">
        <v>2063</v>
      </c>
      <c r="D786" s="33">
        <v>80</v>
      </c>
      <c r="E786" s="33">
        <v>242.48</v>
      </c>
      <c r="F786" s="33">
        <v>2288</v>
      </c>
      <c r="G786" s="34">
        <v>242.48</v>
      </c>
      <c r="H786" s="34">
        <v>225</v>
      </c>
      <c r="I786" s="34">
        <v>2530.48</v>
      </c>
      <c r="J786" s="34">
        <v>415.11</v>
      </c>
      <c r="K786" s="34">
        <v>2945.59</v>
      </c>
      <c r="L786" s="33" t="s">
        <v>14</v>
      </c>
      <c r="M786" s="34">
        <f t="shared" si="112"/>
        <v>25.431959798994974</v>
      </c>
      <c r="N786" s="27">
        <v>99.5</v>
      </c>
      <c r="O786" s="34">
        <f>((N786-80)*M786)*0.5</f>
        <v>247.96160804020099</v>
      </c>
      <c r="P786" s="35">
        <f t="shared" si="111"/>
        <v>44.63</v>
      </c>
      <c r="Q786" s="34">
        <f t="shared" si="113"/>
        <v>371.94241206030148</v>
      </c>
      <c r="R786" s="35"/>
    </row>
    <row r="787" spans="1:18" x14ac:dyDescent="0.3">
      <c r="A787" s="32">
        <v>43523</v>
      </c>
      <c r="B787" s="33" t="s">
        <v>58</v>
      </c>
      <c r="C787" s="34">
        <v>2041</v>
      </c>
      <c r="D787" s="33">
        <v>0</v>
      </c>
      <c r="E787" s="33">
        <v>2041</v>
      </c>
      <c r="F787" s="33"/>
      <c r="G787" s="34">
        <v>372.13</v>
      </c>
      <c r="H787" s="34">
        <v>0</v>
      </c>
      <c r="I787" s="34">
        <v>2413.13</v>
      </c>
      <c r="J787" s="34">
        <v>236.03</v>
      </c>
      <c r="K787" s="34">
        <v>2649.16</v>
      </c>
      <c r="L787" s="33" t="s">
        <v>14</v>
      </c>
      <c r="M787" s="34">
        <f t="shared" si="112"/>
        <v>22.552486187845304</v>
      </c>
      <c r="N787" s="27">
        <v>90.5</v>
      </c>
      <c r="O787" s="34">
        <f>((N787-80)*M787)*0.5</f>
        <v>118.40055248618785</v>
      </c>
      <c r="P787" s="35">
        <f t="shared" si="111"/>
        <v>21.31</v>
      </c>
      <c r="Q787" s="34">
        <f t="shared" si="113"/>
        <v>177.60082872928177</v>
      </c>
      <c r="R787" s="35"/>
    </row>
    <row r="788" spans="1:18" x14ac:dyDescent="0.3">
      <c r="A788" s="32">
        <v>43539</v>
      </c>
      <c r="B788" s="33" t="s">
        <v>58</v>
      </c>
      <c r="C788" s="34">
        <v>885</v>
      </c>
      <c r="D788" s="36">
        <v>36</v>
      </c>
      <c r="E788" s="33">
        <v>150.12</v>
      </c>
      <c r="F788" s="33">
        <v>885</v>
      </c>
      <c r="G788" s="34">
        <v>150.12</v>
      </c>
      <c r="H788" s="34">
        <v>0</v>
      </c>
      <c r="I788" s="34">
        <v>1035.1199999999999</v>
      </c>
      <c r="J788" s="34">
        <v>258.47000000000003</v>
      </c>
      <c r="K788" s="34">
        <v>1293.5899999999999</v>
      </c>
      <c r="L788" s="33" t="s">
        <v>14</v>
      </c>
      <c r="M788" s="34">
        <f t="shared" si="112"/>
        <v>28.75333333333333</v>
      </c>
      <c r="N788" s="27">
        <v>36</v>
      </c>
      <c r="O788" s="34">
        <v>0</v>
      </c>
      <c r="P788" s="35">
        <f t="shared" si="111"/>
        <v>0</v>
      </c>
      <c r="Q788" s="34">
        <f t="shared" si="113"/>
        <v>0</v>
      </c>
      <c r="R788" s="35"/>
    </row>
    <row r="789" spans="1:18" x14ac:dyDescent="0.3">
      <c r="A789" s="32">
        <v>43553</v>
      </c>
      <c r="B789" s="33" t="s">
        <v>58</v>
      </c>
      <c r="C789" s="34">
        <v>2093</v>
      </c>
      <c r="D789" s="33">
        <v>80</v>
      </c>
      <c r="E789" s="33">
        <v>438.11</v>
      </c>
      <c r="F789" s="33">
        <v>2093</v>
      </c>
      <c r="G789" s="34">
        <v>438.11</v>
      </c>
      <c r="H789" s="34">
        <v>0</v>
      </c>
      <c r="I789" s="34">
        <v>2531.11</v>
      </c>
      <c r="J789" s="34">
        <v>399.99</v>
      </c>
      <c r="K789" s="34">
        <v>2931.1</v>
      </c>
      <c r="L789" s="33" t="s">
        <v>14</v>
      </c>
      <c r="M789" s="34">
        <f t="shared" si="112"/>
        <v>27.814395604395607</v>
      </c>
      <c r="N789" s="27">
        <v>91</v>
      </c>
      <c r="O789" s="34">
        <f>((N789-80)*M789)*0.5</f>
        <v>152.97917582417583</v>
      </c>
      <c r="P789" s="35">
        <f t="shared" si="111"/>
        <v>26.01</v>
      </c>
      <c r="Q789" s="34">
        <f t="shared" si="113"/>
        <v>229.46876373626372</v>
      </c>
      <c r="R789" s="35"/>
    </row>
    <row r="790" spans="1:18" x14ac:dyDescent="0.3">
      <c r="A790" s="32">
        <v>43567</v>
      </c>
      <c r="B790" s="33" t="s">
        <v>58</v>
      </c>
      <c r="C790" s="34">
        <v>2093</v>
      </c>
      <c r="D790" s="33">
        <v>80</v>
      </c>
      <c r="E790" s="33">
        <v>599.11</v>
      </c>
      <c r="F790" s="33">
        <v>1932</v>
      </c>
      <c r="G790" s="34">
        <v>438.11</v>
      </c>
      <c r="H790" s="34">
        <v>0</v>
      </c>
      <c r="I790" s="34">
        <v>2531.11</v>
      </c>
      <c r="J790" s="34">
        <v>399.99</v>
      </c>
      <c r="K790" s="34">
        <v>2931.1</v>
      </c>
      <c r="L790" s="33" t="s">
        <v>14</v>
      </c>
      <c r="M790" s="34">
        <f t="shared" si="112"/>
        <v>30.132261904761908</v>
      </c>
      <c r="N790" s="27">
        <v>84</v>
      </c>
      <c r="O790" s="34">
        <f>((N790-80)*M790)*0.5</f>
        <v>60.264523809523816</v>
      </c>
      <c r="P790" s="35">
        <f t="shared" si="111"/>
        <v>9.64</v>
      </c>
      <c r="Q790" s="34">
        <f t="shared" si="113"/>
        <v>90.396785714285727</v>
      </c>
      <c r="R790" s="35"/>
    </row>
    <row r="791" spans="1:18" x14ac:dyDescent="0.3">
      <c r="A791" s="32">
        <v>43903</v>
      </c>
      <c r="B791" s="33" t="s">
        <v>58</v>
      </c>
      <c r="C791" s="34">
        <v>920</v>
      </c>
      <c r="D791" s="36">
        <v>40</v>
      </c>
      <c r="E791" s="33">
        <v>3608.32</v>
      </c>
      <c r="F791" s="33">
        <v>920</v>
      </c>
      <c r="G791" s="34">
        <v>102.7</v>
      </c>
      <c r="H791" s="34">
        <v>0</v>
      </c>
      <c r="I791" s="34">
        <v>1022.7</v>
      </c>
      <c r="J791" s="34">
        <v>147.19999999999999</v>
      </c>
      <c r="K791" s="34">
        <v>1169.9000000000001</v>
      </c>
      <c r="L791" s="33" t="s">
        <v>14</v>
      </c>
      <c r="M791" s="34">
        <f t="shared" si="112"/>
        <v>113.208</v>
      </c>
      <c r="N791" s="41">
        <v>40</v>
      </c>
      <c r="O791" s="34">
        <v>0</v>
      </c>
      <c r="P791" s="35">
        <f t="shared" si="111"/>
        <v>0</v>
      </c>
      <c r="Q791" s="34">
        <f t="shared" si="113"/>
        <v>0</v>
      </c>
      <c r="R791" s="35"/>
    </row>
    <row r="792" spans="1:18" x14ac:dyDescent="0.3">
      <c r="A792" s="32">
        <v>43917</v>
      </c>
      <c r="B792" s="33" t="s">
        <v>58</v>
      </c>
      <c r="C792" s="34">
        <v>3094.94</v>
      </c>
      <c r="D792" s="33">
        <v>86</v>
      </c>
      <c r="E792" s="33"/>
      <c r="F792" s="36">
        <v>4154</v>
      </c>
      <c r="G792" s="34">
        <v>219.06</v>
      </c>
      <c r="H792" s="34">
        <v>0</v>
      </c>
      <c r="I792" s="34">
        <v>3314</v>
      </c>
      <c r="J792" s="34">
        <v>349.69</v>
      </c>
      <c r="K792" s="34">
        <v>3663.69</v>
      </c>
      <c r="L792" s="33" t="s">
        <v>14</v>
      </c>
      <c r="M792" s="34">
        <f t="shared" si="112"/>
        <v>48.302325581395351</v>
      </c>
      <c r="N792" s="27">
        <v>86</v>
      </c>
      <c r="O792" s="34">
        <f>((N792-80)*M792)*0.5</f>
        <v>144.90697674418607</v>
      </c>
      <c r="P792" s="35">
        <f t="shared" si="111"/>
        <v>7.25</v>
      </c>
      <c r="Q792" s="34">
        <f t="shared" si="113"/>
        <v>217.3604651162791</v>
      </c>
      <c r="R792" s="35"/>
    </row>
    <row r="793" spans="1:18" x14ac:dyDescent="0.3">
      <c r="A793" s="32">
        <v>43931</v>
      </c>
      <c r="B793" s="33" t="s">
        <v>58</v>
      </c>
      <c r="C793" s="34">
        <v>940.97</v>
      </c>
      <c r="D793" s="36">
        <v>16</v>
      </c>
      <c r="E793" s="33"/>
      <c r="F793" s="33">
        <v>1040</v>
      </c>
      <c r="G793" s="34">
        <v>99.03</v>
      </c>
      <c r="H793" s="34">
        <v>0</v>
      </c>
      <c r="I793" s="34">
        <v>1040</v>
      </c>
      <c r="J793" s="34">
        <v>152.83000000000001</v>
      </c>
      <c r="K793" s="34">
        <v>1192.83</v>
      </c>
      <c r="L793" s="33" t="s">
        <v>14</v>
      </c>
      <c r="M793" s="34">
        <f t="shared" si="112"/>
        <v>65</v>
      </c>
      <c r="N793" s="27">
        <v>16</v>
      </c>
      <c r="O793" s="34">
        <v>0</v>
      </c>
      <c r="P793" s="35">
        <f t="shared" si="111"/>
        <v>0</v>
      </c>
      <c r="Q793" s="34">
        <f t="shared" si="113"/>
        <v>0</v>
      </c>
      <c r="R793" s="35"/>
    </row>
    <row r="794" spans="1:18" x14ac:dyDescent="0.3">
      <c r="A794" s="37" t="s">
        <v>77</v>
      </c>
      <c r="B794" s="33" t="s">
        <v>58</v>
      </c>
      <c r="C794" s="34">
        <v>500.12</v>
      </c>
      <c r="D794" s="33">
        <v>16</v>
      </c>
      <c r="E794" s="33"/>
      <c r="F794" s="33">
        <v>552.76</v>
      </c>
      <c r="G794" s="34">
        <v>52.64</v>
      </c>
      <c r="H794" s="34">
        <v>0</v>
      </c>
      <c r="I794" s="34">
        <v>552.76</v>
      </c>
      <c r="J794" s="34">
        <v>81.83</v>
      </c>
      <c r="K794" s="34">
        <v>634.59</v>
      </c>
      <c r="L794" s="33" t="s">
        <v>14</v>
      </c>
      <c r="M794" s="34" t="e">
        <f t="shared" si="112"/>
        <v>#DIV/0!</v>
      </c>
      <c r="N794" s="27"/>
      <c r="O794" s="34" t="e">
        <f t="shared" ref="O794:O800" si="114">((N794-80)*M794)*0.5</f>
        <v>#DIV/0!</v>
      </c>
      <c r="P794" s="35" t="e">
        <f t="shared" si="111"/>
        <v>#VALUE!</v>
      </c>
      <c r="Q794" s="34" t="e">
        <f t="shared" si="113"/>
        <v>#DIV/0!</v>
      </c>
      <c r="R794" s="35"/>
    </row>
    <row r="795" spans="1:18" x14ac:dyDescent="0.3">
      <c r="A795" s="37" t="s">
        <v>77</v>
      </c>
      <c r="B795" s="33" t="s">
        <v>58</v>
      </c>
      <c r="C795" s="34">
        <v>700.03</v>
      </c>
      <c r="D795" s="33">
        <v>29.76</v>
      </c>
      <c r="E795" s="33"/>
      <c r="F795" s="33">
        <v>773.31</v>
      </c>
      <c r="G795" s="34">
        <v>73.680000000000007</v>
      </c>
      <c r="H795" s="34">
        <v>0</v>
      </c>
      <c r="I795" s="34">
        <v>773.71</v>
      </c>
      <c r="J795" s="34">
        <v>114.54</v>
      </c>
      <c r="K795" s="34">
        <v>888.25</v>
      </c>
      <c r="L795" s="33" t="s">
        <v>14</v>
      </c>
      <c r="M795" s="34" t="e">
        <f t="shared" si="112"/>
        <v>#DIV/0!</v>
      </c>
      <c r="N795" s="27"/>
      <c r="O795" s="34" t="e">
        <f t="shared" si="114"/>
        <v>#DIV/0!</v>
      </c>
      <c r="P795" s="35" t="e">
        <f t="shared" si="111"/>
        <v>#VALUE!</v>
      </c>
      <c r="Q795" s="34" t="e">
        <f t="shared" si="113"/>
        <v>#DIV/0!</v>
      </c>
      <c r="R795" s="35"/>
    </row>
    <row r="796" spans="1:18" x14ac:dyDescent="0.3">
      <c r="A796" s="37" t="s">
        <v>77</v>
      </c>
      <c r="B796" s="33" t="s">
        <v>58</v>
      </c>
      <c r="C796" s="34">
        <v>300</v>
      </c>
      <c r="D796" s="33">
        <v>12.75</v>
      </c>
      <c r="E796" s="33"/>
      <c r="F796" s="33">
        <v>331.58</v>
      </c>
      <c r="G796" s="34">
        <v>31.58</v>
      </c>
      <c r="H796" s="34">
        <v>0</v>
      </c>
      <c r="I796" s="34">
        <v>331.58</v>
      </c>
      <c r="J796" s="34">
        <v>49.09</v>
      </c>
      <c r="K796" s="34">
        <v>380.67</v>
      </c>
      <c r="L796" s="33" t="s">
        <v>14</v>
      </c>
      <c r="M796" s="34" t="e">
        <f t="shared" si="112"/>
        <v>#DIV/0!</v>
      </c>
      <c r="N796" s="27"/>
      <c r="O796" s="34" t="e">
        <f t="shared" si="114"/>
        <v>#DIV/0!</v>
      </c>
      <c r="P796" s="35" t="e">
        <f t="shared" si="111"/>
        <v>#VALUE!</v>
      </c>
      <c r="Q796" s="34" t="e">
        <f t="shared" si="113"/>
        <v>#DIV/0!</v>
      </c>
      <c r="R796" s="35"/>
    </row>
    <row r="797" spans="1:18" x14ac:dyDescent="0.3">
      <c r="A797" s="32">
        <v>43987</v>
      </c>
      <c r="B797" s="33" t="s">
        <v>58</v>
      </c>
      <c r="C797" s="34">
        <v>2148.17</v>
      </c>
      <c r="D797" s="33">
        <v>87.5</v>
      </c>
      <c r="E797" s="33"/>
      <c r="F797" s="36">
        <v>2372.5</v>
      </c>
      <c r="G797" s="34">
        <v>224.33</v>
      </c>
      <c r="H797" s="34">
        <v>0</v>
      </c>
      <c r="I797" s="34">
        <v>2372.5</v>
      </c>
      <c r="J797" s="34">
        <v>344.36</v>
      </c>
      <c r="K797" s="34">
        <v>2716.86</v>
      </c>
      <c r="L797" s="33" t="s">
        <v>14</v>
      </c>
      <c r="M797" s="34">
        <f t="shared" si="112"/>
        <v>27.114285714285714</v>
      </c>
      <c r="N797" s="27">
        <v>87.5</v>
      </c>
      <c r="O797" s="34">
        <f t="shared" si="114"/>
        <v>101.67857142857143</v>
      </c>
      <c r="P797" s="35">
        <f t="shared" si="111"/>
        <v>2.0299999999999998</v>
      </c>
      <c r="Q797" s="34">
        <f t="shared" si="113"/>
        <v>152.51785714285714</v>
      </c>
      <c r="R797" s="35"/>
    </row>
    <row r="798" spans="1:18" x14ac:dyDescent="0.3">
      <c r="A798" s="37" t="s">
        <v>77</v>
      </c>
      <c r="B798" s="33" t="s">
        <v>59</v>
      </c>
      <c r="C798" s="34">
        <v>1981</v>
      </c>
      <c r="D798" s="33">
        <v>80</v>
      </c>
      <c r="E798" s="33">
        <v>216.33</v>
      </c>
      <c r="F798" s="33">
        <v>1980.8</v>
      </c>
      <c r="G798" s="34">
        <v>216.13</v>
      </c>
      <c r="H798" s="34">
        <v>0</v>
      </c>
      <c r="I798" s="34">
        <v>2197.13</v>
      </c>
      <c r="J798" s="34">
        <v>381.57</v>
      </c>
      <c r="K798" s="34">
        <v>2578.6999999999998</v>
      </c>
      <c r="L798" s="33">
        <v>100134</v>
      </c>
      <c r="M798" s="34" t="e">
        <f t="shared" si="112"/>
        <v>#DIV/0!</v>
      </c>
      <c r="N798" s="27"/>
      <c r="O798" s="34" t="e">
        <f t="shared" si="114"/>
        <v>#DIV/0!</v>
      </c>
      <c r="P798" s="35" t="e">
        <f t="shared" si="111"/>
        <v>#VALUE!</v>
      </c>
      <c r="Q798" s="34" t="e">
        <f t="shared" si="113"/>
        <v>#DIV/0!</v>
      </c>
      <c r="R798" s="35">
        <v>409.55</v>
      </c>
    </row>
    <row r="799" spans="1:18" x14ac:dyDescent="0.3">
      <c r="A799" s="32">
        <v>43497</v>
      </c>
      <c r="B799" s="33" t="s">
        <v>59</v>
      </c>
      <c r="C799" s="34">
        <v>2163</v>
      </c>
      <c r="D799" s="33">
        <v>80</v>
      </c>
      <c r="E799" s="33">
        <v>1574.92</v>
      </c>
      <c r="F799" s="33">
        <v>1980.8</v>
      </c>
      <c r="G799" s="34">
        <v>807.72</v>
      </c>
      <c r="H799" s="34">
        <v>585</v>
      </c>
      <c r="I799" s="34">
        <v>3555.72</v>
      </c>
      <c r="J799" s="34">
        <v>518.26</v>
      </c>
      <c r="K799" s="34">
        <v>4073.98</v>
      </c>
      <c r="L799" s="33">
        <v>100142</v>
      </c>
      <c r="M799" s="34">
        <f t="shared" si="112"/>
        <v>29.754979079497911</v>
      </c>
      <c r="N799" s="27">
        <v>119.5</v>
      </c>
      <c r="O799" s="34">
        <f t="shared" si="114"/>
        <v>587.66083682008377</v>
      </c>
      <c r="P799" s="35">
        <f t="shared" si="111"/>
        <v>111.66</v>
      </c>
      <c r="Q799" s="34">
        <f t="shared" si="113"/>
        <v>881.49125523012572</v>
      </c>
      <c r="R799" s="35"/>
    </row>
    <row r="800" spans="1:18" x14ac:dyDescent="0.3">
      <c r="A800" s="32">
        <v>43511</v>
      </c>
      <c r="B800" s="33" t="s">
        <v>59</v>
      </c>
      <c r="C800" s="34">
        <v>2357</v>
      </c>
      <c r="D800" s="33">
        <v>80</v>
      </c>
      <c r="E800" s="33">
        <v>248.39</v>
      </c>
      <c r="F800" s="33">
        <v>2357</v>
      </c>
      <c r="G800" s="34">
        <v>248.39</v>
      </c>
      <c r="H800" s="34">
        <v>0</v>
      </c>
      <c r="I800" s="34">
        <v>2605.39</v>
      </c>
      <c r="J800" s="34">
        <v>414.47</v>
      </c>
      <c r="K800" s="34">
        <v>3019.86</v>
      </c>
      <c r="L800" s="33" t="s">
        <v>14</v>
      </c>
      <c r="M800" s="34">
        <f t="shared" si="112"/>
        <v>25.418439024390242</v>
      </c>
      <c r="N800" s="27">
        <v>102.5</v>
      </c>
      <c r="O800" s="34">
        <f t="shared" si="114"/>
        <v>285.95743902439023</v>
      </c>
      <c r="P800" s="35">
        <f t="shared" si="111"/>
        <v>51.47</v>
      </c>
      <c r="Q800" s="34">
        <f t="shared" si="113"/>
        <v>428.93615853658537</v>
      </c>
      <c r="R800" s="35"/>
    </row>
    <row r="801" spans="1:18" x14ac:dyDescent="0.3">
      <c r="A801" s="32">
        <v>43523</v>
      </c>
      <c r="B801" s="33" t="s">
        <v>59</v>
      </c>
      <c r="C801" s="34">
        <v>1818</v>
      </c>
      <c r="D801" s="36">
        <v>49</v>
      </c>
      <c r="E801" s="33">
        <v>1818</v>
      </c>
      <c r="F801" s="33"/>
      <c r="G801" s="34">
        <v>350.36</v>
      </c>
      <c r="H801" s="34">
        <v>0</v>
      </c>
      <c r="I801" s="34">
        <v>2168.36</v>
      </c>
      <c r="J801" s="34">
        <v>205.14</v>
      </c>
      <c r="K801" s="34">
        <v>2373.5</v>
      </c>
      <c r="L801" s="33" t="s">
        <v>14</v>
      </c>
      <c r="M801" s="34">
        <f t="shared" si="112"/>
        <v>21.642857142857142</v>
      </c>
      <c r="N801" s="27">
        <v>84</v>
      </c>
      <c r="O801" s="38">
        <f>(M801*0.5)*9</f>
        <v>97.392857142857139</v>
      </c>
      <c r="P801" s="35">
        <f t="shared" si="111"/>
        <v>17.53</v>
      </c>
      <c r="Q801" s="34">
        <f t="shared" si="113"/>
        <v>146.08928571428572</v>
      </c>
      <c r="R801" s="35"/>
    </row>
    <row r="802" spans="1:18" x14ac:dyDescent="0.3">
      <c r="A802" s="32">
        <v>43539</v>
      </c>
      <c r="B802" s="33" t="s">
        <v>59</v>
      </c>
      <c r="C802" s="34">
        <v>2150</v>
      </c>
      <c r="D802" s="33">
        <v>80</v>
      </c>
      <c r="E802" s="33">
        <v>721.78</v>
      </c>
      <c r="F802" s="33">
        <v>1980.8</v>
      </c>
      <c r="G802" s="34">
        <v>552.58000000000004</v>
      </c>
      <c r="H802" s="34">
        <v>0</v>
      </c>
      <c r="I802" s="34">
        <v>2702.58</v>
      </c>
      <c r="J802" s="34">
        <v>416.19</v>
      </c>
      <c r="K802" s="34">
        <v>3118.77</v>
      </c>
      <c r="L802" s="33" t="s">
        <v>14</v>
      </c>
      <c r="M802" s="34">
        <f t="shared" si="112"/>
        <v>28.904598930481281</v>
      </c>
      <c r="N802" s="27">
        <v>93.5</v>
      </c>
      <c r="O802" s="34">
        <f t="shared" ref="O802:O809" si="115">((N802-80)*M802)*0.5</f>
        <v>195.10604278074865</v>
      </c>
      <c r="P802" s="35">
        <f t="shared" si="111"/>
        <v>33.17</v>
      </c>
      <c r="Q802" s="34">
        <f t="shared" si="113"/>
        <v>292.65906417112296</v>
      </c>
      <c r="R802" s="35"/>
    </row>
    <row r="803" spans="1:18" x14ac:dyDescent="0.3">
      <c r="A803" s="32">
        <v>43553</v>
      </c>
      <c r="B803" s="33" t="s">
        <v>59</v>
      </c>
      <c r="C803" s="34">
        <v>1743</v>
      </c>
      <c r="D803" s="33">
        <v>80</v>
      </c>
      <c r="E803" s="33">
        <v>640.48</v>
      </c>
      <c r="F803" s="33">
        <v>1980.8</v>
      </c>
      <c r="G803" s="34">
        <v>528.28</v>
      </c>
      <c r="H803" s="34">
        <v>350</v>
      </c>
      <c r="I803" s="34">
        <v>2621.2800000000002</v>
      </c>
      <c r="J803" s="34">
        <v>408.51</v>
      </c>
      <c r="K803" s="34">
        <v>3029.79</v>
      </c>
      <c r="L803" s="33" t="s">
        <v>14</v>
      </c>
      <c r="M803" s="34">
        <f t="shared" si="112"/>
        <v>28.805274725274721</v>
      </c>
      <c r="N803" s="27">
        <v>91</v>
      </c>
      <c r="O803" s="34">
        <f t="shared" si="115"/>
        <v>158.42901098901098</v>
      </c>
      <c r="P803" s="35">
        <f t="shared" si="111"/>
        <v>26.93</v>
      </c>
      <c r="Q803" s="34">
        <f t="shared" si="113"/>
        <v>237.64351648351646</v>
      </c>
      <c r="R803" s="35"/>
    </row>
    <row r="804" spans="1:18" x14ac:dyDescent="0.3">
      <c r="A804" s="32">
        <v>43567</v>
      </c>
      <c r="B804" s="33" t="s">
        <v>59</v>
      </c>
      <c r="C804" s="34">
        <v>1984</v>
      </c>
      <c r="D804" s="33">
        <v>80</v>
      </c>
      <c r="E804" s="33">
        <v>542.04999999999995</v>
      </c>
      <c r="F804" s="33">
        <v>1980.8</v>
      </c>
      <c r="G804" s="34">
        <v>498.85</v>
      </c>
      <c r="H804" s="34">
        <v>40</v>
      </c>
      <c r="I804" s="34">
        <v>2522.85</v>
      </c>
      <c r="J804" s="34">
        <v>399.2</v>
      </c>
      <c r="K804" s="34">
        <v>2922.05</v>
      </c>
      <c r="L804" s="33" t="s">
        <v>14</v>
      </c>
      <c r="M804" s="34">
        <f t="shared" si="112"/>
        <v>28.668749999999999</v>
      </c>
      <c r="N804" s="27">
        <v>88</v>
      </c>
      <c r="O804" s="34">
        <f t="shared" si="115"/>
        <v>114.675</v>
      </c>
      <c r="P804" s="35">
        <f t="shared" si="111"/>
        <v>18.350000000000001</v>
      </c>
      <c r="Q804" s="34">
        <f t="shared" si="113"/>
        <v>172.01249999999999</v>
      </c>
      <c r="R804" s="35"/>
    </row>
    <row r="805" spans="1:18" x14ac:dyDescent="0.3">
      <c r="A805" s="32">
        <v>43581</v>
      </c>
      <c r="B805" s="33" t="s">
        <v>59</v>
      </c>
      <c r="C805" s="34">
        <v>1572</v>
      </c>
      <c r="D805" s="33">
        <v>80</v>
      </c>
      <c r="E805" s="33">
        <v>410.78</v>
      </c>
      <c r="F805" s="33">
        <v>1980.8</v>
      </c>
      <c r="G805" s="34">
        <v>459.58</v>
      </c>
      <c r="H805" s="34">
        <v>360</v>
      </c>
      <c r="I805" s="34">
        <v>2391.58</v>
      </c>
      <c r="J805" s="34">
        <v>382.71</v>
      </c>
      <c r="K805" s="34">
        <v>2774.29</v>
      </c>
      <c r="L805" s="33" t="s">
        <v>14</v>
      </c>
      <c r="M805" s="34">
        <f t="shared" si="112"/>
        <v>28.471190476190475</v>
      </c>
      <c r="N805" s="27">
        <v>84</v>
      </c>
      <c r="O805" s="34">
        <f t="shared" si="115"/>
        <v>56.942380952380951</v>
      </c>
      <c r="P805" s="35">
        <f t="shared" si="111"/>
        <v>9.11</v>
      </c>
      <c r="Q805" s="34">
        <f t="shared" si="113"/>
        <v>85.41357142857143</v>
      </c>
      <c r="R805" s="35"/>
    </row>
    <row r="806" spans="1:18" x14ac:dyDescent="0.3">
      <c r="A806" s="32">
        <v>43595</v>
      </c>
      <c r="B806" s="33" t="s">
        <v>59</v>
      </c>
      <c r="C806" s="34">
        <v>2116</v>
      </c>
      <c r="D806" s="33">
        <v>80</v>
      </c>
      <c r="E806" s="33">
        <v>673.29</v>
      </c>
      <c r="F806" s="33">
        <v>1980.8</v>
      </c>
      <c r="G806" s="34">
        <v>538.09</v>
      </c>
      <c r="H806" s="34">
        <v>0</v>
      </c>
      <c r="I806" s="34">
        <v>2654.09</v>
      </c>
      <c r="J806" s="34">
        <v>407.12</v>
      </c>
      <c r="K806" s="34">
        <v>3061.21</v>
      </c>
      <c r="L806" s="33" t="s">
        <v>14</v>
      </c>
      <c r="M806" s="34">
        <f t="shared" si="112"/>
        <v>28.848804347826089</v>
      </c>
      <c r="N806" s="27">
        <v>92</v>
      </c>
      <c r="O806" s="34">
        <f t="shared" si="115"/>
        <v>173.09282608695653</v>
      </c>
      <c r="P806" s="35">
        <f t="shared" si="111"/>
        <v>27.69</v>
      </c>
      <c r="Q806" s="34">
        <f t="shared" si="113"/>
        <v>259.63923913043482</v>
      </c>
      <c r="R806" s="35"/>
    </row>
    <row r="807" spans="1:18" x14ac:dyDescent="0.3">
      <c r="A807" s="32">
        <v>43609</v>
      </c>
      <c r="B807" s="33" t="s">
        <v>59</v>
      </c>
      <c r="C807" s="34">
        <v>2189</v>
      </c>
      <c r="D807" s="33">
        <v>80</v>
      </c>
      <c r="E807" s="33">
        <v>1308.0999999999999</v>
      </c>
      <c r="F807" s="33">
        <v>1980.8</v>
      </c>
      <c r="G807" s="34">
        <v>727.9</v>
      </c>
      <c r="H807" s="34">
        <v>372</v>
      </c>
      <c r="I807" s="34">
        <v>3288.9</v>
      </c>
      <c r="J807" s="34">
        <v>466.07</v>
      </c>
      <c r="K807" s="34">
        <v>3754.97</v>
      </c>
      <c r="L807" s="33" t="s">
        <v>14</v>
      </c>
      <c r="M807" s="34">
        <f t="shared" si="112"/>
        <v>31.472727272727269</v>
      </c>
      <c r="N807" s="27">
        <v>104.5</v>
      </c>
      <c r="O807" s="34">
        <f t="shared" si="115"/>
        <v>385.54090909090905</v>
      </c>
      <c r="P807" s="35">
        <f t="shared" si="111"/>
        <v>57.83</v>
      </c>
      <c r="Q807" s="34">
        <f t="shared" si="113"/>
        <v>578.31136363636358</v>
      </c>
      <c r="R807" s="35"/>
    </row>
    <row r="808" spans="1:18" x14ac:dyDescent="0.3">
      <c r="A808" s="32">
        <v>43623</v>
      </c>
      <c r="B808" s="33" t="s">
        <v>59</v>
      </c>
      <c r="C808" s="34">
        <v>2038</v>
      </c>
      <c r="D808" s="33">
        <v>80</v>
      </c>
      <c r="E808" s="33">
        <v>604.82000000000005</v>
      </c>
      <c r="F808" s="33">
        <v>1980.8</v>
      </c>
      <c r="G808" s="34">
        <v>517.62</v>
      </c>
      <c r="H808" s="34">
        <v>30</v>
      </c>
      <c r="I808" s="34">
        <v>2585.62</v>
      </c>
      <c r="J808" s="34">
        <v>400.76</v>
      </c>
      <c r="K808" s="34">
        <v>2986.38</v>
      </c>
      <c r="L808" s="33" t="s">
        <v>14</v>
      </c>
      <c r="M808" s="34">
        <f t="shared" si="112"/>
        <v>28.889608938547486</v>
      </c>
      <c r="N808" s="27">
        <v>89.5</v>
      </c>
      <c r="O808" s="34">
        <f t="shared" si="115"/>
        <v>137.22564245810057</v>
      </c>
      <c r="P808" s="35">
        <f t="shared" si="111"/>
        <v>20.58</v>
      </c>
      <c r="Q808" s="34">
        <f t="shared" si="113"/>
        <v>205.83846368715086</v>
      </c>
      <c r="R808" s="35"/>
    </row>
    <row r="809" spans="1:18" x14ac:dyDescent="0.3">
      <c r="A809" s="37" t="s">
        <v>77</v>
      </c>
      <c r="B809" s="33" t="s">
        <v>59</v>
      </c>
      <c r="C809" s="34">
        <v>813</v>
      </c>
      <c r="D809" s="33">
        <v>50</v>
      </c>
      <c r="E809" s="33">
        <v>64.489999999999995</v>
      </c>
      <c r="F809" s="33">
        <v>1238</v>
      </c>
      <c r="G809" s="34">
        <v>129.49</v>
      </c>
      <c r="H809" s="34">
        <v>360</v>
      </c>
      <c r="I809" s="34">
        <v>1302.49</v>
      </c>
      <c r="J809" s="34">
        <v>221.33</v>
      </c>
      <c r="K809" s="34">
        <v>1523.82</v>
      </c>
      <c r="L809" s="33" t="s">
        <v>14</v>
      </c>
      <c r="M809" s="34" t="e">
        <f t="shared" si="112"/>
        <v>#DIV/0!</v>
      </c>
      <c r="N809" s="27"/>
      <c r="O809" s="34" t="e">
        <f t="shared" si="115"/>
        <v>#DIV/0!</v>
      </c>
      <c r="P809" s="35" t="e">
        <f t="shared" si="111"/>
        <v>#VALUE!</v>
      </c>
      <c r="Q809" s="34" t="e">
        <f t="shared" si="113"/>
        <v>#DIV/0!</v>
      </c>
      <c r="R809" s="35"/>
    </row>
    <row r="810" spans="1:18" x14ac:dyDescent="0.3">
      <c r="A810" s="32">
        <v>43651</v>
      </c>
      <c r="B810" s="33" t="s">
        <v>59</v>
      </c>
      <c r="C810" s="34">
        <v>1741</v>
      </c>
      <c r="D810" s="36">
        <v>77</v>
      </c>
      <c r="E810" s="33">
        <v>60.87</v>
      </c>
      <c r="F810" s="33">
        <v>1906.52</v>
      </c>
      <c r="G810" s="34">
        <v>196.39</v>
      </c>
      <c r="H810" s="34">
        <v>30</v>
      </c>
      <c r="I810" s="34">
        <v>1967.39</v>
      </c>
      <c r="J810" s="34">
        <v>337.29</v>
      </c>
      <c r="K810" s="34">
        <v>2304.6799999999998</v>
      </c>
      <c r="L810" s="33" t="s">
        <v>14</v>
      </c>
      <c r="M810" s="34">
        <f t="shared" si="112"/>
        <v>25.55051948051948</v>
      </c>
      <c r="N810" s="27">
        <v>77</v>
      </c>
      <c r="O810" s="34">
        <v>0</v>
      </c>
      <c r="P810" s="35">
        <f t="shared" si="111"/>
        <v>0</v>
      </c>
      <c r="Q810" s="34">
        <f t="shared" si="113"/>
        <v>0</v>
      </c>
      <c r="R810" s="35"/>
    </row>
    <row r="811" spans="1:18" x14ac:dyDescent="0.3">
      <c r="A811" s="32">
        <v>43665</v>
      </c>
      <c r="B811" s="33" t="s">
        <v>59</v>
      </c>
      <c r="C811" s="34">
        <v>1771</v>
      </c>
      <c r="D811" s="36">
        <v>45</v>
      </c>
      <c r="E811" s="33">
        <v>223.34</v>
      </c>
      <c r="F811" s="33">
        <v>1771</v>
      </c>
      <c r="G811" s="34">
        <v>223.34</v>
      </c>
      <c r="H811" s="34">
        <v>0</v>
      </c>
      <c r="I811" s="34">
        <v>1994.34</v>
      </c>
      <c r="J811" s="34">
        <v>339.8</v>
      </c>
      <c r="K811" s="34">
        <v>2334.14</v>
      </c>
      <c r="L811" s="33" t="s">
        <v>14</v>
      </c>
      <c r="M811" s="34">
        <f t="shared" si="112"/>
        <v>25.900519480519481</v>
      </c>
      <c r="N811" s="27">
        <v>77</v>
      </c>
      <c r="O811" s="38">
        <f>(M811*0.5)*5</f>
        <v>64.751298701298708</v>
      </c>
      <c r="P811" s="35">
        <f t="shared" si="111"/>
        <v>8.42</v>
      </c>
      <c r="Q811" s="34">
        <f t="shared" si="113"/>
        <v>97.126948051948062</v>
      </c>
      <c r="R811" s="35"/>
    </row>
    <row r="812" spans="1:18" x14ac:dyDescent="0.3">
      <c r="A812" s="32">
        <v>43679</v>
      </c>
      <c r="B812" s="33" t="s">
        <v>59</v>
      </c>
      <c r="C812" s="34">
        <v>1854</v>
      </c>
      <c r="D812" s="33">
        <v>80</v>
      </c>
      <c r="E812" s="33">
        <v>332.84</v>
      </c>
      <c r="F812" s="33">
        <v>2254</v>
      </c>
      <c r="G812" s="34">
        <v>332.88</v>
      </c>
      <c r="H812" s="34">
        <v>399.96</v>
      </c>
      <c r="I812" s="34">
        <v>2586.84</v>
      </c>
      <c r="J812" s="34">
        <v>400.86</v>
      </c>
      <c r="K812" s="34">
        <v>2987.7</v>
      </c>
      <c r="L812" s="33" t="s">
        <v>14</v>
      </c>
      <c r="M812" s="34">
        <f t="shared" si="112"/>
        <v>26.396326530612246</v>
      </c>
      <c r="N812" s="27">
        <v>98</v>
      </c>
      <c r="O812" s="34">
        <f>((N812-80)*M812)*0.5</f>
        <v>237.56693877551021</v>
      </c>
      <c r="P812" s="35">
        <f t="shared" si="111"/>
        <v>30.88</v>
      </c>
      <c r="Q812" s="34">
        <f t="shared" si="113"/>
        <v>356.35040816326534</v>
      </c>
      <c r="R812" s="35"/>
    </row>
    <row r="813" spans="1:18" x14ac:dyDescent="0.3">
      <c r="A813" s="32">
        <v>43693</v>
      </c>
      <c r="B813" s="33" t="s">
        <v>59</v>
      </c>
      <c r="C813" s="34">
        <v>2514</v>
      </c>
      <c r="D813" s="33">
        <v>80</v>
      </c>
      <c r="E813" s="33">
        <v>409.93</v>
      </c>
      <c r="F813" s="33">
        <v>2564</v>
      </c>
      <c r="G813" s="34">
        <v>409.93</v>
      </c>
      <c r="H813" s="34">
        <v>50</v>
      </c>
      <c r="I813" s="34">
        <v>2973.93</v>
      </c>
      <c r="J813" s="34">
        <v>436.81</v>
      </c>
      <c r="K813" s="34">
        <v>3410.74</v>
      </c>
      <c r="L813" s="33" t="s">
        <v>14</v>
      </c>
      <c r="M813" s="34">
        <f t="shared" si="112"/>
        <v>26.672017937219728</v>
      </c>
      <c r="N813" s="27">
        <v>111.5</v>
      </c>
      <c r="O813" s="34">
        <f>((N813-80)*M813)*0.5</f>
        <v>420.08428251121069</v>
      </c>
      <c r="P813" s="35">
        <f t="shared" si="111"/>
        <v>50.41</v>
      </c>
      <c r="Q813" s="34">
        <f t="shared" si="113"/>
        <v>630.12642376681606</v>
      </c>
      <c r="R813" s="35"/>
    </row>
    <row r="814" spans="1:18" x14ac:dyDescent="0.3">
      <c r="A814" s="32">
        <v>43707</v>
      </c>
      <c r="B814" s="33" t="s">
        <v>59</v>
      </c>
      <c r="C814" s="34">
        <v>1865</v>
      </c>
      <c r="D814" s="33">
        <v>80</v>
      </c>
      <c r="E814" s="33">
        <v>335.64</v>
      </c>
      <c r="F814" s="33">
        <v>2265</v>
      </c>
      <c r="G814" s="34">
        <v>335.64</v>
      </c>
      <c r="H814" s="34">
        <v>400</v>
      </c>
      <c r="I814" s="34">
        <v>2600.64</v>
      </c>
      <c r="J814" s="34">
        <v>402.14</v>
      </c>
      <c r="K814" s="34">
        <v>3002.78</v>
      </c>
      <c r="L814" s="33" t="s">
        <v>14</v>
      </c>
      <c r="M814" s="34">
        <f t="shared" si="112"/>
        <v>26.402436548223349</v>
      </c>
      <c r="N814" s="27">
        <v>98.5</v>
      </c>
      <c r="O814" s="34">
        <f>((N814-80)*M814)*0.5</f>
        <v>244.22253807106597</v>
      </c>
      <c r="P814" s="35">
        <f t="shared" si="111"/>
        <v>29.31</v>
      </c>
      <c r="Q814" s="34">
        <f t="shared" si="113"/>
        <v>366.33380710659895</v>
      </c>
      <c r="R814" s="35"/>
    </row>
    <row r="815" spans="1:18" x14ac:dyDescent="0.3">
      <c r="A815" s="32">
        <v>43721</v>
      </c>
      <c r="B815" s="33" t="s">
        <v>59</v>
      </c>
      <c r="C815" s="34">
        <v>2047</v>
      </c>
      <c r="D815" s="36">
        <v>50</v>
      </c>
      <c r="E815" s="33">
        <v>285.45</v>
      </c>
      <c r="F815" s="33">
        <v>2047</v>
      </c>
      <c r="G815" s="34">
        <v>285.45</v>
      </c>
      <c r="H815" s="34">
        <v>0</v>
      </c>
      <c r="I815" s="34">
        <v>2332.4499999999998</v>
      </c>
      <c r="J815" s="34">
        <v>377.23</v>
      </c>
      <c r="K815" s="34">
        <v>2709.68</v>
      </c>
      <c r="L815" s="33" t="s">
        <v>14</v>
      </c>
      <c r="M815" s="34">
        <f t="shared" si="112"/>
        <v>26.207303370786516</v>
      </c>
      <c r="N815" s="27">
        <v>89</v>
      </c>
      <c r="O815" s="38">
        <f>(M815*0.5)*10</f>
        <v>131.03651685393257</v>
      </c>
      <c r="P815" s="35">
        <f t="shared" si="111"/>
        <v>14.41</v>
      </c>
      <c r="Q815" s="34">
        <f t="shared" si="113"/>
        <v>196.55477528089887</v>
      </c>
      <c r="R815" s="35"/>
    </row>
    <row r="816" spans="1:18" x14ac:dyDescent="0.3">
      <c r="A816" s="32">
        <v>43735</v>
      </c>
      <c r="B816" s="33" t="s">
        <v>59</v>
      </c>
      <c r="C816" s="34">
        <v>2156</v>
      </c>
      <c r="D816" s="33">
        <v>80</v>
      </c>
      <c r="E816" s="33">
        <v>407.93</v>
      </c>
      <c r="F816" s="33">
        <v>2556</v>
      </c>
      <c r="G816" s="34">
        <v>407.93</v>
      </c>
      <c r="H816" s="34">
        <v>400</v>
      </c>
      <c r="I816" s="34">
        <v>2963.93</v>
      </c>
      <c r="J816" s="34">
        <v>435.88</v>
      </c>
      <c r="K816" s="34">
        <v>3399.81</v>
      </c>
      <c r="L816" s="33" t="s">
        <v>14</v>
      </c>
      <c r="M816" s="34">
        <f t="shared" si="112"/>
        <v>27.830328638497651</v>
      </c>
      <c r="N816" s="27">
        <v>106.5</v>
      </c>
      <c r="O816" s="34">
        <f>((N816-80)*M816)*0.5</f>
        <v>368.75185446009385</v>
      </c>
      <c r="P816" s="35">
        <f t="shared" si="111"/>
        <v>40.56</v>
      </c>
      <c r="Q816" s="34">
        <f t="shared" si="113"/>
        <v>553.12778169014075</v>
      </c>
      <c r="R816" s="35"/>
    </row>
    <row r="817" spans="1:18" x14ac:dyDescent="0.3">
      <c r="A817" s="32">
        <v>43749</v>
      </c>
      <c r="B817" s="33" t="s">
        <v>59</v>
      </c>
      <c r="C817" s="34">
        <v>2362</v>
      </c>
      <c r="D817" s="33">
        <v>80</v>
      </c>
      <c r="E817" s="33">
        <v>372.17</v>
      </c>
      <c r="F817" s="33">
        <v>2412</v>
      </c>
      <c r="G817" s="34">
        <v>372.17</v>
      </c>
      <c r="H817" s="34">
        <v>50</v>
      </c>
      <c r="I817" s="34">
        <v>2784.17</v>
      </c>
      <c r="J817" s="34">
        <v>402.81</v>
      </c>
      <c r="K817" s="34">
        <v>3186.98</v>
      </c>
      <c r="L817" s="33" t="s">
        <v>14</v>
      </c>
      <c r="M817" s="34">
        <f t="shared" ref="M817:M834" si="116">(E817+F817)/N817</f>
        <v>27.295784313725491</v>
      </c>
      <c r="N817" s="27">
        <v>102</v>
      </c>
      <c r="O817" s="34">
        <f>((N817-80)*M817)*0.5</f>
        <v>300.25362745098039</v>
      </c>
      <c r="P817" s="35">
        <f t="shared" si="111"/>
        <v>30.03</v>
      </c>
      <c r="Q817" s="34">
        <f t="shared" ref="Q817:Q834" si="117">O817*1.5</f>
        <v>450.38044117647058</v>
      </c>
      <c r="R817" s="35"/>
    </row>
    <row r="818" spans="1:18" x14ac:dyDescent="0.3">
      <c r="A818" s="32">
        <v>43763</v>
      </c>
      <c r="B818" s="33" t="s">
        <v>59</v>
      </c>
      <c r="C818" s="34">
        <v>1713</v>
      </c>
      <c r="D818" s="36">
        <v>49.5</v>
      </c>
      <c r="E818" s="33">
        <v>294.39</v>
      </c>
      <c r="F818" s="33">
        <v>2088</v>
      </c>
      <c r="G818" s="34">
        <v>294.39</v>
      </c>
      <c r="H818" s="34">
        <v>375</v>
      </c>
      <c r="I818" s="34">
        <v>2382.39</v>
      </c>
      <c r="J818" s="34">
        <v>342.79</v>
      </c>
      <c r="K818" s="34">
        <v>2725.18</v>
      </c>
      <c r="L818" s="33" t="s">
        <v>14</v>
      </c>
      <c r="M818" s="34">
        <f t="shared" si="116"/>
        <v>27.383793103448273</v>
      </c>
      <c r="N818" s="27">
        <v>87</v>
      </c>
      <c r="O818" s="38">
        <f>(M818*0.5)*9.5</f>
        <v>130.07301724137929</v>
      </c>
      <c r="P818" s="35">
        <f t="shared" si="111"/>
        <v>13.01</v>
      </c>
      <c r="Q818" s="34">
        <f t="shared" si="117"/>
        <v>195.10952586206895</v>
      </c>
      <c r="R818" s="35"/>
    </row>
    <row r="819" spans="1:18" x14ac:dyDescent="0.3">
      <c r="A819" s="32">
        <v>43777</v>
      </c>
      <c r="B819" s="33" t="s">
        <v>59</v>
      </c>
      <c r="C819" s="34">
        <v>2266</v>
      </c>
      <c r="D819" s="33">
        <v>80</v>
      </c>
      <c r="E819" s="33">
        <v>348.29</v>
      </c>
      <c r="F819" s="33">
        <v>2316</v>
      </c>
      <c r="G819" s="34">
        <v>348.29</v>
      </c>
      <c r="H819" s="34">
        <v>50</v>
      </c>
      <c r="I819" s="34">
        <v>2664.29</v>
      </c>
      <c r="J819" s="34">
        <v>364.35</v>
      </c>
      <c r="K819" s="34">
        <v>3028.64</v>
      </c>
      <c r="L819" s="33" t="s">
        <v>14</v>
      </c>
      <c r="M819" s="34">
        <f t="shared" si="116"/>
        <v>27.609222797927462</v>
      </c>
      <c r="N819" s="27">
        <v>96.5</v>
      </c>
      <c r="O819" s="34">
        <f>((N819-80)*M819)*0.5</f>
        <v>227.77608808290157</v>
      </c>
      <c r="P819" s="35">
        <f t="shared" si="111"/>
        <v>20.5</v>
      </c>
      <c r="Q819" s="34">
        <f t="shared" si="117"/>
        <v>341.66413212435236</v>
      </c>
      <c r="R819" s="35"/>
    </row>
    <row r="820" spans="1:18" x14ac:dyDescent="0.3">
      <c r="A820" s="32">
        <v>43791</v>
      </c>
      <c r="B820" s="33" t="s">
        <v>59</v>
      </c>
      <c r="C820" s="34">
        <v>1688</v>
      </c>
      <c r="D820" s="36">
        <v>51</v>
      </c>
      <c r="E820" s="33">
        <v>294.41000000000003</v>
      </c>
      <c r="F820" s="33">
        <v>2088</v>
      </c>
      <c r="G820" s="34">
        <v>294.41000000000003</v>
      </c>
      <c r="H820" s="34">
        <v>400</v>
      </c>
      <c r="I820" s="34">
        <v>2382.41</v>
      </c>
      <c r="J820" s="34">
        <v>342.8</v>
      </c>
      <c r="K820" s="34">
        <v>2725.21</v>
      </c>
      <c r="L820" s="33" t="s">
        <v>14</v>
      </c>
      <c r="M820" s="34">
        <f t="shared" si="116"/>
        <v>27.384022988505745</v>
      </c>
      <c r="N820" s="27">
        <v>87</v>
      </c>
      <c r="O820" s="38">
        <f>(M820*0.5)*11</f>
        <v>150.61212643678161</v>
      </c>
      <c r="P820" s="35">
        <f t="shared" si="111"/>
        <v>13.56</v>
      </c>
      <c r="Q820" s="34">
        <f t="shared" si="117"/>
        <v>225.9181896551724</v>
      </c>
      <c r="R820" s="35"/>
    </row>
    <row r="821" spans="1:18" x14ac:dyDescent="0.3">
      <c r="A821" s="32">
        <v>43805</v>
      </c>
      <c r="B821" s="33" t="s">
        <v>59</v>
      </c>
      <c r="C821" s="34">
        <v>1794</v>
      </c>
      <c r="D821" s="36">
        <v>49.5</v>
      </c>
      <c r="E821" s="33">
        <v>236.83</v>
      </c>
      <c r="F821" s="33">
        <v>1824</v>
      </c>
      <c r="G821" s="34">
        <v>236.83</v>
      </c>
      <c r="H821" s="34">
        <v>30</v>
      </c>
      <c r="I821" s="34">
        <v>2060.83</v>
      </c>
      <c r="J821" s="34">
        <v>318.2</v>
      </c>
      <c r="K821" s="34">
        <v>2379.0300000000002</v>
      </c>
      <c r="L821" s="33" t="s">
        <v>14</v>
      </c>
      <c r="M821" s="34">
        <f t="shared" si="116"/>
        <v>27.116184210526313</v>
      </c>
      <c r="N821" s="27">
        <v>76</v>
      </c>
      <c r="O821" s="38">
        <f>(M821*0.5)*9.5</f>
        <v>128.801875</v>
      </c>
      <c r="P821" s="35">
        <f t="shared" si="111"/>
        <v>11.59</v>
      </c>
      <c r="Q821" s="34">
        <f t="shared" si="117"/>
        <v>193.20281249999999</v>
      </c>
      <c r="R821" s="35"/>
    </row>
    <row r="822" spans="1:18" x14ac:dyDescent="0.3">
      <c r="A822" s="32">
        <v>43819</v>
      </c>
      <c r="B822" s="33" t="s">
        <v>59</v>
      </c>
      <c r="C822" s="34">
        <v>2194</v>
      </c>
      <c r="D822" s="33">
        <v>80</v>
      </c>
      <c r="E822" s="33">
        <v>330.41</v>
      </c>
      <c r="F822" s="33">
        <v>2244</v>
      </c>
      <c r="G822" s="34">
        <v>330.41</v>
      </c>
      <c r="H822" s="34">
        <v>50</v>
      </c>
      <c r="I822" s="34">
        <v>2574.41</v>
      </c>
      <c r="J822" s="34">
        <v>357.48</v>
      </c>
      <c r="K822" s="34">
        <v>2931.89</v>
      </c>
      <c r="L822" s="33" t="s">
        <v>14</v>
      </c>
      <c r="M822" s="34">
        <f t="shared" si="116"/>
        <v>29.25465909090909</v>
      </c>
      <c r="N822" s="27">
        <v>88</v>
      </c>
      <c r="O822" s="34">
        <f>((N822-80)*M822)*0.5</f>
        <v>117.01863636363636</v>
      </c>
      <c r="P822" s="35">
        <f t="shared" si="111"/>
        <v>9.36</v>
      </c>
      <c r="Q822" s="34">
        <f t="shared" si="117"/>
        <v>175.52795454545455</v>
      </c>
      <c r="R822" s="35"/>
    </row>
    <row r="823" spans="1:18" x14ac:dyDescent="0.3">
      <c r="A823" s="32">
        <v>43833</v>
      </c>
      <c r="B823" s="33" t="s">
        <v>59</v>
      </c>
      <c r="C823" s="34">
        <v>2644</v>
      </c>
      <c r="D823" s="36">
        <v>49</v>
      </c>
      <c r="E823" s="33">
        <v>424.28</v>
      </c>
      <c r="F823" s="33">
        <v>2644</v>
      </c>
      <c r="G823" s="34">
        <v>424.28</v>
      </c>
      <c r="H823" s="34">
        <v>0</v>
      </c>
      <c r="I823" s="34">
        <v>3068.28</v>
      </c>
      <c r="J823" s="34">
        <v>463.99</v>
      </c>
      <c r="K823" s="34">
        <v>3532.27</v>
      </c>
      <c r="L823" s="33" t="s">
        <v>14</v>
      </c>
      <c r="M823" s="34">
        <f t="shared" si="116"/>
        <v>37.879999999999995</v>
      </c>
      <c r="N823" s="27">
        <v>81</v>
      </c>
      <c r="O823" s="38">
        <f>(M823*0.5)*9</f>
        <v>170.45999999999998</v>
      </c>
      <c r="P823" s="35">
        <f t="shared" si="111"/>
        <v>13.64</v>
      </c>
      <c r="Q823" s="34">
        <f t="shared" si="117"/>
        <v>255.68999999999997</v>
      </c>
      <c r="R823" s="35"/>
    </row>
    <row r="824" spans="1:18" x14ac:dyDescent="0.3">
      <c r="A824" s="32">
        <v>43847</v>
      </c>
      <c r="B824" s="33" t="s">
        <v>59</v>
      </c>
      <c r="C824" s="34">
        <v>2313</v>
      </c>
      <c r="D824" s="36">
        <v>51.5</v>
      </c>
      <c r="E824" s="33"/>
      <c r="F824" s="33">
        <v>2413</v>
      </c>
      <c r="G824" s="34">
        <v>296.41000000000003</v>
      </c>
      <c r="H824" s="34">
        <v>100</v>
      </c>
      <c r="I824" s="34">
        <v>2709.41</v>
      </c>
      <c r="J824" s="34">
        <v>399.19</v>
      </c>
      <c r="K824" s="34">
        <v>3108.6</v>
      </c>
      <c r="L824" s="33" t="s">
        <v>14</v>
      </c>
      <c r="M824" s="34">
        <f t="shared" si="116"/>
        <v>28.898203592814372</v>
      </c>
      <c r="N824" s="27">
        <v>83.5</v>
      </c>
      <c r="O824" s="38">
        <f>(M824*0.5)*11.5</f>
        <v>166.16467065868264</v>
      </c>
      <c r="P824" s="35">
        <f t="shared" si="111"/>
        <v>11.63</v>
      </c>
      <c r="Q824" s="34">
        <f t="shared" si="117"/>
        <v>249.24700598802394</v>
      </c>
      <c r="R824" s="35"/>
    </row>
    <row r="825" spans="1:18" x14ac:dyDescent="0.3">
      <c r="A825" s="32">
        <v>43861</v>
      </c>
      <c r="B825" s="33" t="s">
        <v>59</v>
      </c>
      <c r="C825" s="34">
        <v>2268</v>
      </c>
      <c r="D825" s="33">
        <v>80</v>
      </c>
      <c r="E825" s="33"/>
      <c r="F825" s="33">
        <v>2268</v>
      </c>
      <c r="G825" s="34">
        <v>270.45</v>
      </c>
      <c r="H825" s="34">
        <v>0</v>
      </c>
      <c r="I825" s="34">
        <v>2538.4499999999998</v>
      </c>
      <c r="J825" s="34">
        <v>380.34</v>
      </c>
      <c r="K825" s="34">
        <v>2918.79</v>
      </c>
      <c r="L825" s="33" t="s">
        <v>14</v>
      </c>
      <c r="M825" s="34">
        <f t="shared" si="116"/>
        <v>24</v>
      </c>
      <c r="N825" s="27">
        <v>94.5</v>
      </c>
      <c r="O825" s="34">
        <f>((N825-80)*M825)*0.5</f>
        <v>174</v>
      </c>
      <c r="P825" s="35">
        <f t="shared" si="111"/>
        <v>12.18</v>
      </c>
      <c r="Q825" s="34">
        <f t="shared" si="117"/>
        <v>261</v>
      </c>
      <c r="R825" s="35"/>
    </row>
    <row r="826" spans="1:18" x14ac:dyDescent="0.3">
      <c r="A826" s="32">
        <v>43875</v>
      </c>
      <c r="B826" s="33" t="s">
        <v>59</v>
      </c>
      <c r="C826" s="34">
        <v>2050</v>
      </c>
      <c r="D826" s="33">
        <v>80</v>
      </c>
      <c r="E826" s="33"/>
      <c r="F826" s="33">
        <v>2100</v>
      </c>
      <c r="G826" s="34">
        <v>231.55</v>
      </c>
      <c r="H826" s="34">
        <v>50</v>
      </c>
      <c r="I826" s="34">
        <v>2331.5500000000002</v>
      </c>
      <c r="J826" s="34">
        <v>307.51</v>
      </c>
      <c r="K826" s="34">
        <v>2639.06</v>
      </c>
      <c r="L826" s="33" t="s">
        <v>14</v>
      </c>
      <c r="M826" s="34">
        <f t="shared" si="116"/>
        <v>24</v>
      </c>
      <c r="N826" s="27">
        <v>87.5</v>
      </c>
      <c r="O826" s="34">
        <f>((N826-80)*M826)*0.5</f>
        <v>90</v>
      </c>
      <c r="P826" s="35">
        <f t="shared" si="111"/>
        <v>5.4</v>
      </c>
      <c r="Q826" s="34">
        <f t="shared" si="117"/>
        <v>135</v>
      </c>
      <c r="R826" s="35"/>
    </row>
    <row r="827" spans="1:18" x14ac:dyDescent="0.3">
      <c r="A827" s="32">
        <v>43889</v>
      </c>
      <c r="B827" s="33" t="s">
        <v>59</v>
      </c>
      <c r="C827" s="34">
        <v>1798</v>
      </c>
      <c r="D827" s="36">
        <v>41</v>
      </c>
      <c r="E827" s="33"/>
      <c r="F827" s="33">
        <v>1848</v>
      </c>
      <c r="G827" s="34">
        <v>186.44</v>
      </c>
      <c r="H827" s="34">
        <v>50</v>
      </c>
      <c r="I827" s="34">
        <v>2034.44</v>
      </c>
      <c r="J827" s="34">
        <v>284.10000000000002</v>
      </c>
      <c r="K827" s="34">
        <v>2318.54</v>
      </c>
      <c r="L827" s="33" t="s">
        <v>14</v>
      </c>
      <c r="M827" s="34">
        <f t="shared" si="116"/>
        <v>24</v>
      </c>
      <c r="N827" s="27">
        <v>77</v>
      </c>
      <c r="O827" s="38">
        <f>(M827*0.5)*1</f>
        <v>12</v>
      </c>
      <c r="P827" s="35">
        <f t="shared" si="111"/>
        <v>0.72</v>
      </c>
      <c r="Q827" s="34">
        <f t="shared" si="117"/>
        <v>18</v>
      </c>
      <c r="R827" s="35"/>
    </row>
    <row r="828" spans="1:18" x14ac:dyDescent="0.3">
      <c r="A828" s="32">
        <v>43903</v>
      </c>
      <c r="B828" s="33" t="s">
        <v>59</v>
      </c>
      <c r="C828" s="34">
        <v>2264</v>
      </c>
      <c r="D828" s="33">
        <v>80</v>
      </c>
      <c r="E828" s="33"/>
      <c r="F828" s="33">
        <v>2314</v>
      </c>
      <c r="G828" s="34">
        <v>269.86</v>
      </c>
      <c r="H828" s="34">
        <v>50</v>
      </c>
      <c r="I828" s="34">
        <v>2583.86</v>
      </c>
      <c r="J828" s="34">
        <v>327.38</v>
      </c>
      <c r="K828" s="34">
        <v>2911.24</v>
      </c>
      <c r="L828" s="33" t="s">
        <v>14</v>
      </c>
      <c r="M828" s="34">
        <f t="shared" si="116"/>
        <v>26</v>
      </c>
      <c r="N828" s="27">
        <v>89</v>
      </c>
      <c r="O828" s="34">
        <f>((N828-80)*M828)*0.5</f>
        <v>117</v>
      </c>
      <c r="P828" s="35">
        <f t="shared" si="111"/>
        <v>5.85</v>
      </c>
      <c r="Q828" s="34">
        <f t="shared" si="117"/>
        <v>175.5</v>
      </c>
      <c r="R828" s="35"/>
    </row>
    <row r="829" spans="1:18" x14ac:dyDescent="0.3">
      <c r="A829" s="32">
        <v>43917</v>
      </c>
      <c r="B829" s="33" t="s">
        <v>59</v>
      </c>
      <c r="C829" s="34">
        <v>2055.52</v>
      </c>
      <c r="D829" s="36">
        <v>79</v>
      </c>
      <c r="E829" s="33"/>
      <c r="F829" s="33">
        <v>2370</v>
      </c>
      <c r="G829" s="34">
        <v>279.48</v>
      </c>
      <c r="H829" s="34">
        <v>35</v>
      </c>
      <c r="I829" s="34">
        <v>2370</v>
      </c>
      <c r="J829" s="34">
        <v>331.19</v>
      </c>
      <c r="K829" s="34">
        <v>2701.19</v>
      </c>
      <c r="L829" s="33" t="s">
        <v>14</v>
      </c>
      <c r="M829" s="34">
        <f t="shared" si="116"/>
        <v>30</v>
      </c>
      <c r="N829" s="27">
        <v>79</v>
      </c>
      <c r="O829" s="34">
        <v>0</v>
      </c>
      <c r="P829" s="35">
        <f t="shared" si="111"/>
        <v>0</v>
      </c>
      <c r="Q829" s="34">
        <f t="shared" si="117"/>
        <v>0</v>
      </c>
      <c r="R829" s="35"/>
    </row>
    <row r="830" spans="1:18" x14ac:dyDescent="0.3">
      <c r="A830" s="32">
        <v>43931</v>
      </c>
      <c r="B830" s="33" t="s">
        <v>59</v>
      </c>
      <c r="C830" s="34">
        <v>1088.32</v>
      </c>
      <c r="D830" s="36">
        <v>24</v>
      </c>
      <c r="E830" s="33"/>
      <c r="F830" s="33">
        <v>1200</v>
      </c>
      <c r="G830" s="34">
        <v>111.68</v>
      </c>
      <c r="H830" s="34">
        <v>0</v>
      </c>
      <c r="I830" s="34">
        <v>1200</v>
      </c>
      <c r="J830" s="34">
        <v>167.69</v>
      </c>
      <c r="K830" s="34">
        <v>1367.69</v>
      </c>
      <c r="L830" s="33" t="s">
        <v>14</v>
      </c>
      <c r="M830" s="34">
        <f t="shared" si="116"/>
        <v>50</v>
      </c>
      <c r="N830" s="27">
        <v>24</v>
      </c>
      <c r="O830" s="34">
        <v>0</v>
      </c>
      <c r="P830" s="35">
        <f t="shared" si="111"/>
        <v>0</v>
      </c>
      <c r="Q830" s="34">
        <f t="shared" si="117"/>
        <v>0</v>
      </c>
      <c r="R830" s="35"/>
    </row>
    <row r="831" spans="1:18" x14ac:dyDescent="0.3">
      <c r="A831" s="37" t="s">
        <v>77</v>
      </c>
      <c r="B831" s="33" t="s">
        <v>59</v>
      </c>
      <c r="C831" s="34">
        <v>500.08</v>
      </c>
      <c r="D831" s="33">
        <v>18.38</v>
      </c>
      <c r="E831" s="33"/>
      <c r="F831" s="33">
        <v>551.4</v>
      </c>
      <c r="G831" s="34">
        <v>51.32</v>
      </c>
      <c r="H831" s="34">
        <v>0</v>
      </c>
      <c r="I831" s="34">
        <v>551.4</v>
      </c>
      <c r="J831" s="34">
        <v>76.459999999999994</v>
      </c>
      <c r="K831" s="34">
        <v>627.86</v>
      </c>
      <c r="L831" s="33" t="s">
        <v>14</v>
      </c>
      <c r="M831" s="34" t="e">
        <f t="shared" si="116"/>
        <v>#DIV/0!</v>
      </c>
      <c r="N831" s="27"/>
      <c r="O831" s="34" t="e">
        <f>((N831-80)*M831)*0.5</f>
        <v>#DIV/0!</v>
      </c>
      <c r="P831" s="35" t="e">
        <f t="shared" si="111"/>
        <v>#VALUE!</v>
      </c>
      <c r="Q831" s="34" t="e">
        <f t="shared" si="117"/>
        <v>#DIV/0!</v>
      </c>
      <c r="R831" s="35"/>
    </row>
    <row r="832" spans="1:18" x14ac:dyDescent="0.3">
      <c r="A832" s="37" t="s">
        <v>77</v>
      </c>
      <c r="B832" s="33" t="s">
        <v>59</v>
      </c>
      <c r="C832" s="34">
        <v>700</v>
      </c>
      <c r="D832" s="33">
        <v>25.73</v>
      </c>
      <c r="E832" s="33"/>
      <c r="F832" s="33">
        <v>771.83</v>
      </c>
      <c r="G832" s="34">
        <v>71.83</v>
      </c>
      <c r="H832" s="34">
        <v>0</v>
      </c>
      <c r="I832" s="34">
        <v>771.83</v>
      </c>
      <c r="J832" s="34">
        <v>107.03</v>
      </c>
      <c r="K832" s="34">
        <v>878.86</v>
      </c>
      <c r="L832" s="33" t="s">
        <v>14</v>
      </c>
      <c r="M832" s="34" t="e">
        <f t="shared" si="116"/>
        <v>#DIV/0!</v>
      </c>
      <c r="N832" s="27"/>
      <c r="O832" s="34" t="e">
        <f>((N832-80)*M832)*0.5</f>
        <v>#DIV/0!</v>
      </c>
      <c r="P832" s="35" t="e">
        <f t="shared" si="111"/>
        <v>#VALUE!</v>
      </c>
      <c r="Q832" s="34" t="e">
        <f t="shared" si="117"/>
        <v>#DIV/0!</v>
      </c>
      <c r="R832" s="35"/>
    </row>
    <row r="833" spans="1:18" x14ac:dyDescent="0.3">
      <c r="A833" s="32">
        <v>43973</v>
      </c>
      <c r="B833" s="33" t="s">
        <v>59</v>
      </c>
      <c r="C833" s="34">
        <v>435.34</v>
      </c>
      <c r="D833" s="36">
        <v>16</v>
      </c>
      <c r="E833" s="33"/>
      <c r="F833" s="33">
        <v>480</v>
      </c>
      <c r="G833" s="34">
        <v>44.66</v>
      </c>
      <c r="H833" s="34">
        <v>0</v>
      </c>
      <c r="I833" s="34">
        <v>480</v>
      </c>
      <c r="J833" s="34">
        <v>66.56</v>
      </c>
      <c r="K833" s="34">
        <v>546.55999999999995</v>
      </c>
      <c r="L833" s="33" t="s">
        <v>14</v>
      </c>
      <c r="M833" s="34">
        <f t="shared" si="116"/>
        <v>30</v>
      </c>
      <c r="N833" s="27">
        <v>16</v>
      </c>
      <c r="O833" s="34">
        <v>0</v>
      </c>
      <c r="P833" s="35">
        <f t="shared" ref="P833:P896" si="118">ROUND(((ROUNDDOWN(($T$1-A833)/30,0))/100)*O833,2)</f>
        <v>0</v>
      </c>
      <c r="Q833" s="34">
        <f t="shared" si="117"/>
        <v>0</v>
      </c>
      <c r="R833" s="35"/>
    </row>
    <row r="834" spans="1:18" x14ac:dyDescent="0.3">
      <c r="A834" s="32">
        <v>43987</v>
      </c>
      <c r="B834" s="33" t="s">
        <v>59</v>
      </c>
      <c r="C834" s="34">
        <v>1921.08</v>
      </c>
      <c r="D834" s="36">
        <v>72</v>
      </c>
      <c r="E834" s="33"/>
      <c r="F834" s="33">
        <v>2160</v>
      </c>
      <c r="G834" s="34">
        <v>238.92</v>
      </c>
      <c r="H834" s="34">
        <v>0</v>
      </c>
      <c r="I834" s="34">
        <v>2160</v>
      </c>
      <c r="J834" s="34">
        <v>299.52999999999997</v>
      </c>
      <c r="K834" s="34">
        <v>2459.5300000000002</v>
      </c>
      <c r="L834" s="33" t="s">
        <v>14</v>
      </c>
      <c r="M834" s="34">
        <f t="shared" si="116"/>
        <v>30</v>
      </c>
      <c r="N834" s="27">
        <v>72</v>
      </c>
      <c r="O834" s="34">
        <v>0</v>
      </c>
      <c r="P834" s="35">
        <f t="shared" si="118"/>
        <v>0</v>
      </c>
      <c r="Q834" s="34">
        <f t="shared" si="117"/>
        <v>0</v>
      </c>
      <c r="R834" s="35"/>
    </row>
    <row r="835" spans="1:18" x14ac:dyDescent="0.3">
      <c r="A835" s="32">
        <v>43995</v>
      </c>
      <c r="B835" s="33" t="s">
        <v>59</v>
      </c>
      <c r="C835" s="34"/>
      <c r="D835" s="31">
        <v>48</v>
      </c>
      <c r="E835" s="33"/>
      <c r="F835" s="33"/>
      <c r="G835" s="34"/>
      <c r="H835" s="34"/>
      <c r="I835" s="34"/>
      <c r="J835" s="34"/>
      <c r="K835" s="34"/>
      <c r="L835" s="33"/>
      <c r="M835" s="34"/>
      <c r="N835" s="27"/>
      <c r="O835" s="34"/>
      <c r="P835" s="35">
        <f t="shared" si="118"/>
        <v>0</v>
      </c>
      <c r="Q835" s="34"/>
      <c r="R835" s="35"/>
    </row>
    <row r="836" spans="1:18" x14ac:dyDescent="0.3">
      <c r="A836" s="32">
        <v>43721</v>
      </c>
      <c r="B836" s="33" t="s">
        <v>60</v>
      </c>
      <c r="C836" s="34">
        <v>621</v>
      </c>
      <c r="D836" s="36">
        <v>34.5</v>
      </c>
      <c r="E836" s="33">
        <v>73.48</v>
      </c>
      <c r="F836" s="33">
        <v>621</v>
      </c>
      <c r="G836" s="34">
        <v>73.48</v>
      </c>
      <c r="H836" s="34">
        <v>0</v>
      </c>
      <c r="I836" s="34">
        <v>694.48</v>
      </c>
      <c r="J836" s="34">
        <v>138.91999999999999</v>
      </c>
      <c r="K836" s="34">
        <v>833.4</v>
      </c>
      <c r="L836" s="33" t="s">
        <v>14</v>
      </c>
      <c r="M836" s="34">
        <f t="shared" ref="M836:M854" si="119">(E836+F836)/N836</f>
        <v>20.129855072463769</v>
      </c>
      <c r="N836" s="27">
        <v>34.5</v>
      </c>
      <c r="O836" s="34">
        <v>0</v>
      </c>
      <c r="P836" s="35">
        <f t="shared" si="118"/>
        <v>0</v>
      </c>
      <c r="Q836" s="34">
        <f t="shared" ref="Q836:Q854" si="120">O836*1.5</f>
        <v>0</v>
      </c>
      <c r="R836" s="35">
        <v>409.55</v>
      </c>
    </row>
    <row r="837" spans="1:18" x14ac:dyDescent="0.3">
      <c r="A837" s="32">
        <v>43735</v>
      </c>
      <c r="B837" s="33" t="s">
        <v>60</v>
      </c>
      <c r="C837" s="34">
        <v>1812</v>
      </c>
      <c r="D837" s="33">
        <v>80</v>
      </c>
      <c r="E837" s="33">
        <v>266.92</v>
      </c>
      <c r="F837" s="33">
        <v>1962</v>
      </c>
      <c r="G837" s="34">
        <v>266.92</v>
      </c>
      <c r="H837" s="34">
        <v>150</v>
      </c>
      <c r="I837" s="34">
        <v>2228.92</v>
      </c>
      <c r="J837" s="34">
        <v>380.98</v>
      </c>
      <c r="K837" s="34">
        <v>2609.9</v>
      </c>
      <c r="L837" s="33" t="s">
        <v>14</v>
      </c>
      <c r="M837" s="34">
        <f t="shared" si="119"/>
        <v>20.448807339449541</v>
      </c>
      <c r="N837" s="27">
        <v>109</v>
      </c>
      <c r="O837" s="34">
        <f>((N837-80)*M837)*0.5</f>
        <v>296.50770642201832</v>
      </c>
      <c r="P837" s="35">
        <f t="shared" si="118"/>
        <v>32.619999999999997</v>
      </c>
      <c r="Q837" s="34">
        <f t="shared" si="120"/>
        <v>444.76155963302745</v>
      </c>
      <c r="R837" s="35"/>
    </row>
    <row r="838" spans="1:18" x14ac:dyDescent="0.3">
      <c r="A838" s="32">
        <v>43749</v>
      </c>
      <c r="B838" s="33" t="s">
        <v>60</v>
      </c>
      <c r="C838" s="34">
        <v>1810</v>
      </c>
      <c r="D838" s="33">
        <v>80</v>
      </c>
      <c r="E838" s="33">
        <v>280.64999999999998</v>
      </c>
      <c r="F838" s="33">
        <v>2025</v>
      </c>
      <c r="G838" s="34">
        <v>280.64999999999998</v>
      </c>
      <c r="H838" s="34">
        <v>215</v>
      </c>
      <c r="I838" s="34">
        <v>2305.65</v>
      </c>
      <c r="J838" s="34">
        <v>388.56</v>
      </c>
      <c r="K838" s="34">
        <v>2694.21</v>
      </c>
      <c r="L838" s="33" t="s">
        <v>14</v>
      </c>
      <c r="M838" s="34">
        <f t="shared" si="119"/>
        <v>20.494666666666667</v>
      </c>
      <c r="N838" s="27">
        <v>112.5</v>
      </c>
      <c r="O838" s="34">
        <f>((N838-80)*M838)*0.5</f>
        <v>333.03833333333336</v>
      </c>
      <c r="P838" s="35">
        <f t="shared" si="118"/>
        <v>33.299999999999997</v>
      </c>
      <c r="Q838" s="34">
        <f t="shared" si="120"/>
        <v>499.5575</v>
      </c>
      <c r="R838" s="35"/>
    </row>
    <row r="839" spans="1:18" x14ac:dyDescent="0.3">
      <c r="A839" s="32">
        <v>43763</v>
      </c>
      <c r="B839" s="33" t="s">
        <v>60</v>
      </c>
      <c r="C839" s="34">
        <v>1710</v>
      </c>
      <c r="D839" s="33">
        <v>80</v>
      </c>
      <c r="E839" s="33">
        <v>211.96</v>
      </c>
      <c r="F839" s="33">
        <v>1710</v>
      </c>
      <c r="G839" s="34">
        <v>211.96</v>
      </c>
      <c r="H839" s="34">
        <v>0</v>
      </c>
      <c r="I839" s="34">
        <v>1921.96</v>
      </c>
      <c r="J839" s="34">
        <v>349.72</v>
      </c>
      <c r="K839" s="34">
        <v>2271.6799999999998</v>
      </c>
      <c r="L839" s="33" t="s">
        <v>14</v>
      </c>
      <c r="M839" s="34">
        <f t="shared" si="119"/>
        <v>20.231157894736842</v>
      </c>
      <c r="N839" s="27">
        <v>95</v>
      </c>
      <c r="O839" s="34">
        <f>((N839-80)*M839)*0.5</f>
        <v>151.73368421052632</v>
      </c>
      <c r="P839" s="35">
        <f t="shared" si="118"/>
        <v>15.17</v>
      </c>
      <c r="Q839" s="34">
        <f t="shared" si="120"/>
        <v>227.60052631578947</v>
      </c>
      <c r="R839" s="35"/>
    </row>
    <row r="840" spans="1:18" x14ac:dyDescent="0.3">
      <c r="A840" s="32">
        <v>43777</v>
      </c>
      <c r="B840" s="33" t="s">
        <v>60</v>
      </c>
      <c r="C840" s="34">
        <v>1840</v>
      </c>
      <c r="D840" s="33">
        <v>80</v>
      </c>
      <c r="E840" s="33">
        <v>251.23</v>
      </c>
      <c r="F840" s="33">
        <v>1890</v>
      </c>
      <c r="G840" s="34">
        <v>251.23</v>
      </c>
      <c r="H840" s="34">
        <v>50</v>
      </c>
      <c r="I840" s="34">
        <v>2141.23</v>
      </c>
      <c r="J840" s="34">
        <v>359.47</v>
      </c>
      <c r="K840" s="34">
        <v>2500.6999999999998</v>
      </c>
      <c r="L840" s="33" t="s">
        <v>14</v>
      </c>
      <c r="M840" s="34">
        <f t="shared" si="119"/>
        <v>20.392666666666667</v>
      </c>
      <c r="N840" s="27">
        <v>105</v>
      </c>
      <c r="O840" s="34">
        <f>((N840-80)*M840)*0.5</f>
        <v>254.90833333333333</v>
      </c>
      <c r="P840" s="35">
        <f t="shared" si="118"/>
        <v>22.94</v>
      </c>
      <c r="Q840" s="34">
        <f t="shared" si="120"/>
        <v>382.36250000000001</v>
      </c>
      <c r="R840" s="35"/>
    </row>
    <row r="841" spans="1:18" x14ac:dyDescent="0.3">
      <c r="A841" s="32">
        <v>43791</v>
      </c>
      <c r="B841" s="33" t="s">
        <v>60</v>
      </c>
      <c r="C841" s="34">
        <v>1959</v>
      </c>
      <c r="D841" s="33">
        <v>80</v>
      </c>
      <c r="E841" s="33">
        <v>266.26</v>
      </c>
      <c r="F841" s="33">
        <v>1959</v>
      </c>
      <c r="G841" s="34">
        <v>266.26</v>
      </c>
      <c r="H841" s="34">
        <v>0</v>
      </c>
      <c r="I841" s="34">
        <v>2225.2600000000002</v>
      </c>
      <c r="J841" s="34">
        <v>367.26</v>
      </c>
      <c r="K841" s="34">
        <v>2592.52</v>
      </c>
      <c r="L841" s="33" t="s">
        <v>14</v>
      </c>
      <c r="M841" s="34">
        <f t="shared" si="119"/>
        <v>22.141890547263685</v>
      </c>
      <c r="N841" s="27">
        <v>100.5</v>
      </c>
      <c r="O841" s="34">
        <f>((N841-80)*M841)*0.5</f>
        <v>226.95437810945276</v>
      </c>
      <c r="P841" s="35">
        <f t="shared" si="118"/>
        <v>20.43</v>
      </c>
      <c r="Q841" s="34">
        <f t="shared" si="120"/>
        <v>340.43156716417911</v>
      </c>
      <c r="R841" s="35"/>
    </row>
    <row r="842" spans="1:18" x14ac:dyDescent="0.3">
      <c r="A842" s="32">
        <v>43805</v>
      </c>
      <c r="B842" s="33" t="s">
        <v>60</v>
      </c>
      <c r="C842" s="34">
        <v>1463</v>
      </c>
      <c r="D842" s="36">
        <v>49.5</v>
      </c>
      <c r="E842" s="33">
        <v>171.69</v>
      </c>
      <c r="F842" s="33">
        <v>1463</v>
      </c>
      <c r="G842" s="34">
        <v>171.69</v>
      </c>
      <c r="H842" s="34">
        <v>0</v>
      </c>
      <c r="I842" s="34">
        <v>1634.69</v>
      </c>
      <c r="J842" s="34">
        <v>312.42</v>
      </c>
      <c r="K842" s="34">
        <v>1947.11</v>
      </c>
      <c r="L842" s="33" t="s">
        <v>14</v>
      </c>
      <c r="M842" s="34">
        <f t="shared" si="119"/>
        <v>21.229740259740261</v>
      </c>
      <c r="N842" s="27">
        <v>77</v>
      </c>
      <c r="O842" s="38">
        <f>(M842*0.5)*9.5</f>
        <v>100.84126623376623</v>
      </c>
      <c r="P842" s="35">
        <f t="shared" si="118"/>
        <v>9.08</v>
      </c>
      <c r="Q842" s="34">
        <f t="shared" si="120"/>
        <v>151.26189935064934</v>
      </c>
      <c r="R842" s="35"/>
    </row>
    <row r="843" spans="1:18" x14ac:dyDescent="0.3">
      <c r="A843" s="32">
        <v>43816</v>
      </c>
      <c r="B843" s="33" t="s">
        <v>60</v>
      </c>
      <c r="C843" s="34">
        <v>1871</v>
      </c>
      <c r="D843" s="33">
        <v>80</v>
      </c>
      <c r="E843" s="33">
        <v>247.07</v>
      </c>
      <c r="F843" s="33">
        <v>1871</v>
      </c>
      <c r="G843" s="34">
        <v>247.07</v>
      </c>
      <c r="H843" s="34">
        <v>0</v>
      </c>
      <c r="I843" s="34">
        <v>2118.0700000000002</v>
      </c>
      <c r="J843" s="34">
        <v>357.3</v>
      </c>
      <c r="K843" s="34">
        <v>2475.37</v>
      </c>
      <c r="L843" s="33">
        <v>100191</v>
      </c>
      <c r="M843" s="34">
        <f t="shared" si="119"/>
        <v>21.503248730964469</v>
      </c>
      <c r="N843" s="27">
        <v>98.5</v>
      </c>
      <c r="O843" s="34">
        <f>((N843-80)*M843)*0.5</f>
        <v>198.90505076142134</v>
      </c>
      <c r="P843" s="35">
        <f t="shared" si="118"/>
        <v>15.91</v>
      </c>
      <c r="Q843" s="34">
        <f t="shared" si="120"/>
        <v>298.35757614213202</v>
      </c>
      <c r="R843" s="35"/>
    </row>
    <row r="844" spans="1:18" x14ac:dyDescent="0.3">
      <c r="A844" s="32">
        <v>43833</v>
      </c>
      <c r="B844" s="33" t="s">
        <v>60</v>
      </c>
      <c r="C844" s="34">
        <v>684</v>
      </c>
      <c r="D844" s="36">
        <v>36</v>
      </c>
      <c r="E844" s="33">
        <v>79.45</v>
      </c>
      <c r="F844" s="33">
        <v>684</v>
      </c>
      <c r="G844" s="34">
        <v>79.45</v>
      </c>
      <c r="H844" s="34">
        <v>0</v>
      </c>
      <c r="I844" s="34">
        <v>763.45</v>
      </c>
      <c r="J844" s="34">
        <v>147.74</v>
      </c>
      <c r="K844" s="34">
        <v>911.19</v>
      </c>
      <c r="L844" s="33" t="s">
        <v>14</v>
      </c>
      <c r="M844" s="34">
        <f t="shared" si="119"/>
        <v>21.206944444444446</v>
      </c>
      <c r="N844" s="27">
        <v>36</v>
      </c>
      <c r="O844" s="34">
        <v>0</v>
      </c>
      <c r="P844" s="35">
        <f t="shared" si="118"/>
        <v>0</v>
      </c>
      <c r="Q844" s="34">
        <f t="shared" si="120"/>
        <v>0</v>
      </c>
      <c r="R844" s="35"/>
    </row>
    <row r="845" spans="1:18" x14ac:dyDescent="0.3">
      <c r="A845" s="32">
        <v>43861</v>
      </c>
      <c r="B845" s="33" t="s">
        <v>60</v>
      </c>
      <c r="C845" s="34">
        <v>1508</v>
      </c>
      <c r="D845" s="36">
        <v>52.5</v>
      </c>
      <c r="E845" s="33"/>
      <c r="F845" s="33">
        <v>1520</v>
      </c>
      <c r="G845" s="34">
        <v>162.62</v>
      </c>
      <c r="H845" s="34">
        <v>12</v>
      </c>
      <c r="I845" s="34">
        <v>1682.62</v>
      </c>
      <c r="J845" s="34">
        <v>310.86</v>
      </c>
      <c r="K845" s="34">
        <v>1993.48</v>
      </c>
      <c r="L845" s="33" t="s">
        <v>14</v>
      </c>
      <c r="M845" s="34">
        <f t="shared" si="119"/>
        <v>20</v>
      </c>
      <c r="N845" s="27">
        <v>76</v>
      </c>
      <c r="O845" s="38">
        <f>(M845*0.5)*12.5</f>
        <v>125</v>
      </c>
      <c r="P845" s="35">
        <f t="shared" si="118"/>
        <v>8.75</v>
      </c>
      <c r="Q845" s="34">
        <f t="shared" si="120"/>
        <v>187.5</v>
      </c>
      <c r="R845" s="35"/>
    </row>
    <row r="846" spans="1:18" x14ac:dyDescent="0.3">
      <c r="A846" s="32">
        <v>43875</v>
      </c>
      <c r="B846" s="33" t="s">
        <v>60</v>
      </c>
      <c r="C846" s="34">
        <v>1885</v>
      </c>
      <c r="D846" s="33">
        <v>80</v>
      </c>
      <c r="E846" s="33"/>
      <c r="F846" s="33">
        <v>1920</v>
      </c>
      <c r="G846" s="34">
        <v>199.33</v>
      </c>
      <c r="H846" s="34">
        <v>35</v>
      </c>
      <c r="I846" s="34">
        <v>2119.33</v>
      </c>
      <c r="J846" s="34">
        <v>302.31</v>
      </c>
      <c r="K846" s="34">
        <v>2421.64</v>
      </c>
      <c r="L846" s="33" t="s">
        <v>14</v>
      </c>
      <c r="M846" s="34">
        <f t="shared" si="119"/>
        <v>20</v>
      </c>
      <c r="N846" s="27">
        <v>96</v>
      </c>
      <c r="O846" s="34">
        <f>((N846-80)*M846)*0.5</f>
        <v>160</v>
      </c>
      <c r="P846" s="35">
        <f t="shared" si="118"/>
        <v>9.6</v>
      </c>
      <c r="Q846" s="34">
        <f t="shared" si="120"/>
        <v>240</v>
      </c>
      <c r="R846" s="35"/>
    </row>
    <row r="847" spans="1:18" x14ac:dyDescent="0.3">
      <c r="A847" s="32">
        <v>43889</v>
      </c>
      <c r="B847" s="33" t="s">
        <v>60</v>
      </c>
      <c r="C847" s="34">
        <v>1960</v>
      </c>
      <c r="D847" s="33">
        <v>80</v>
      </c>
      <c r="E847" s="33"/>
      <c r="F847" s="33">
        <v>1960</v>
      </c>
      <c r="G847" s="34">
        <v>206.49</v>
      </c>
      <c r="H847" s="34">
        <v>0</v>
      </c>
      <c r="I847" s="34">
        <v>2166.4899999999998</v>
      </c>
      <c r="J847" s="34">
        <v>306.26</v>
      </c>
      <c r="K847" s="34">
        <v>2472.75</v>
      </c>
      <c r="L847" s="33" t="s">
        <v>14</v>
      </c>
      <c r="M847" s="34">
        <f t="shared" si="119"/>
        <v>20</v>
      </c>
      <c r="N847" s="27">
        <v>98</v>
      </c>
      <c r="O847" s="34">
        <f>((N847-80)*M847)*0.5</f>
        <v>180</v>
      </c>
      <c r="P847" s="35">
        <f t="shared" si="118"/>
        <v>10.8</v>
      </c>
      <c r="Q847" s="34">
        <f t="shared" si="120"/>
        <v>270</v>
      </c>
      <c r="R847" s="35"/>
    </row>
    <row r="848" spans="1:18" x14ac:dyDescent="0.3">
      <c r="A848" s="32">
        <v>43903</v>
      </c>
      <c r="B848" s="33" t="s">
        <v>60</v>
      </c>
      <c r="C848" s="34">
        <v>1120</v>
      </c>
      <c r="D848" s="36">
        <v>41.5</v>
      </c>
      <c r="E848" s="33"/>
      <c r="F848" s="33">
        <v>1120</v>
      </c>
      <c r="G848" s="34">
        <v>122.18</v>
      </c>
      <c r="H848" s="34">
        <v>0</v>
      </c>
      <c r="I848" s="34">
        <v>1242.18</v>
      </c>
      <c r="J848" s="34">
        <v>221.48</v>
      </c>
      <c r="K848" s="34">
        <v>1463.66</v>
      </c>
      <c r="L848" s="33" t="s">
        <v>14</v>
      </c>
      <c r="M848" s="34">
        <f t="shared" si="119"/>
        <v>18.983050847457626</v>
      </c>
      <c r="N848" s="27">
        <v>59</v>
      </c>
      <c r="O848" s="38">
        <f>(M848*0.5)*1.5</f>
        <v>14.23728813559322</v>
      </c>
      <c r="P848" s="35">
        <f t="shared" si="118"/>
        <v>0.71</v>
      </c>
      <c r="Q848" s="34">
        <f t="shared" si="120"/>
        <v>21.35593220338983</v>
      </c>
      <c r="R848" s="35"/>
    </row>
    <row r="849" spans="1:18" x14ac:dyDescent="0.3">
      <c r="A849" s="32">
        <v>43917</v>
      </c>
      <c r="B849" s="33" t="s">
        <v>60</v>
      </c>
      <c r="C849" s="34">
        <v>1731.29</v>
      </c>
      <c r="D849" s="36">
        <v>45</v>
      </c>
      <c r="E849" s="33"/>
      <c r="F849" s="36">
        <v>1935</v>
      </c>
      <c r="G849" s="34">
        <v>203.71</v>
      </c>
      <c r="H849" s="34">
        <v>0</v>
      </c>
      <c r="I849" s="34">
        <v>1935</v>
      </c>
      <c r="J849" s="34">
        <v>297.81</v>
      </c>
      <c r="K849" s="34">
        <v>2232.81</v>
      </c>
      <c r="L849" s="33" t="s">
        <v>14</v>
      </c>
      <c r="M849" s="34">
        <f t="shared" si="119"/>
        <v>23.035714285714285</v>
      </c>
      <c r="N849" s="27">
        <v>84</v>
      </c>
      <c r="O849" s="38">
        <f>(M849*0.5)*5</f>
        <v>57.589285714285708</v>
      </c>
      <c r="P849" s="35">
        <f t="shared" si="118"/>
        <v>2.88</v>
      </c>
      <c r="Q849" s="34">
        <f t="shared" si="120"/>
        <v>86.383928571428555</v>
      </c>
      <c r="R849" s="35"/>
    </row>
    <row r="850" spans="1:18" x14ac:dyDescent="0.3">
      <c r="A850" s="32">
        <v>43931</v>
      </c>
      <c r="B850" s="33" t="s">
        <v>60</v>
      </c>
      <c r="C850" s="34">
        <v>812.03</v>
      </c>
      <c r="D850" s="36">
        <v>24</v>
      </c>
      <c r="E850" s="33"/>
      <c r="F850" s="33">
        <v>900</v>
      </c>
      <c r="G850" s="34">
        <v>87.97</v>
      </c>
      <c r="H850" s="34">
        <v>0</v>
      </c>
      <c r="I850" s="34">
        <v>900</v>
      </c>
      <c r="J850" s="34">
        <v>139.82</v>
      </c>
      <c r="K850" s="34">
        <v>1039.82</v>
      </c>
      <c r="L850" s="33" t="s">
        <v>14</v>
      </c>
      <c r="M850" s="34">
        <f t="shared" si="119"/>
        <v>37.5</v>
      </c>
      <c r="N850" s="27">
        <v>24</v>
      </c>
      <c r="O850" s="34">
        <v>0</v>
      </c>
      <c r="P850" s="35">
        <f t="shared" si="118"/>
        <v>0</v>
      </c>
      <c r="Q850" s="34">
        <f t="shared" si="120"/>
        <v>0</v>
      </c>
      <c r="R850" s="35"/>
    </row>
    <row r="851" spans="1:18" x14ac:dyDescent="0.3">
      <c r="A851" s="37" t="s">
        <v>77</v>
      </c>
      <c r="B851" s="33" t="s">
        <v>60</v>
      </c>
      <c r="C851" s="34">
        <v>500.02</v>
      </c>
      <c r="D851" s="33">
        <v>24.63</v>
      </c>
      <c r="E851" s="33"/>
      <c r="F851" s="33">
        <v>554.17999999999995</v>
      </c>
      <c r="G851" s="34">
        <v>54.16</v>
      </c>
      <c r="H851" s="34">
        <v>0</v>
      </c>
      <c r="I851" s="34">
        <v>554.17999999999995</v>
      </c>
      <c r="J851" s="34">
        <v>88.09</v>
      </c>
      <c r="K851" s="34">
        <v>642.27</v>
      </c>
      <c r="L851" s="33" t="s">
        <v>14</v>
      </c>
      <c r="M851" s="34" t="e">
        <f t="shared" si="119"/>
        <v>#DIV/0!</v>
      </c>
      <c r="N851" s="27"/>
      <c r="O851" s="34" t="e">
        <f>((N851-80)*M851)*0.5</f>
        <v>#DIV/0!</v>
      </c>
      <c r="P851" s="35" t="e">
        <f t="shared" si="118"/>
        <v>#VALUE!</v>
      </c>
      <c r="Q851" s="34" t="e">
        <f t="shared" si="120"/>
        <v>#DIV/0!</v>
      </c>
      <c r="R851" s="35"/>
    </row>
    <row r="852" spans="1:18" x14ac:dyDescent="0.3">
      <c r="A852" s="37" t="s">
        <v>77</v>
      </c>
      <c r="B852" s="33" t="s">
        <v>60</v>
      </c>
      <c r="C852" s="34">
        <v>700.08</v>
      </c>
      <c r="D852" s="33">
        <v>34.479999999999997</v>
      </c>
      <c r="E852" s="33"/>
      <c r="F852" s="33">
        <v>775.91</v>
      </c>
      <c r="G852" s="34">
        <v>75.83</v>
      </c>
      <c r="H852" s="34">
        <v>0</v>
      </c>
      <c r="I852" s="34">
        <v>775.91</v>
      </c>
      <c r="J852" s="34">
        <v>123.34</v>
      </c>
      <c r="K852" s="34">
        <v>899.25</v>
      </c>
      <c r="L852" s="33" t="s">
        <v>14</v>
      </c>
      <c r="M852" s="34" t="e">
        <f t="shared" si="119"/>
        <v>#DIV/0!</v>
      </c>
      <c r="N852" s="27"/>
      <c r="O852" s="34" t="e">
        <f>((N852-80)*M852)*0.5</f>
        <v>#DIV/0!</v>
      </c>
      <c r="P852" s="35" t="e">
        <f t="shared" si="118"/>
        <v>#VALUE!</v>
      </c>
      <c r="Q852" s="34" t="e">
        <f t="shared" si="120"/>
        <v>#DIV/0!</v>
      </c>
      <c r="R852" s="35"/>
    </row>
    <row r="853" spans="1:18" x14ac:dyDescent="0.3">
      <c r="A853" s="32">
        <v>43973</v>
      </c>
      <c r="B853" s="33" t="s">
        <v>60</v>
      </c>
      <c r="C853" s="34">
        <v>812.03</v>
      </c>
      <c r="D853" s="36">
        <v>40</v>
      </c>
      <c r="E853" s="33"/>
      <c r="F853" s="33">
        <v>900</v>
      </c>
      <c r="G853" s="34">
        <v>87.97</v>
      </c>
      <c r="H853" s="34">
        <v>0</v>
      </c>
      <c r="I853" s="34">
        <v>900</v>
      </c>
      <c r="J853" s="34">
        <v>143.06</v>
      </c>
      <c r="K853" s="34">
        <v>1043.06</v>
      </c>
      <c r="L853" s="33" t="s">
        <v>14</v>
      </c>
      <c r="M853" s="34">
        <f t="shared" si="119"/>
        <v>22.5</v>
      </c>
      <c r="N853" s="27">
        <v>40</v>
      </c>
      <c r="O853" s="34">
        <v>0</v>
      </c>
      <c r="P853" s="35">
        <f t="shared" si="118"/>
        <v>0</v>
      </c>
      <c r="Q853" s="34">
        <f t="shared" si="120"/>
        <v>0</v>
      </c>
      <c r="R853" s="35"/>
    </row>
    <row r="854" spans="1:18" x14ac:dyDescent="0.3">
      <c r="A854" s="32">
        <v>43987</v>
      </c>
      <c r="B854" s="33" t="s">
        <v>60</v>
      </c>
      <c r="C854" s="34">
        <v>1471.8</v>
      </c>
      <c r="D854" s="36">
        <v>40.5</v>
      </c>
      <c r="E854" s="33"/>
      <c r="F854" s="33">
        <v>1631.25</v>
      </c>
      <c r="G854" s="34">
        <v>159.44999999999999</v>
      </c>
      <c r="H854" s="34">
        <v>0</v>
      </c>
      <c r="I854" s="34">
        <v>1631.25</v>
      </c>
      <c r="J854" s="34">
        <v>259.31</v>
      </c>
      <c r="K854" s="34">
        <v>1890.56</v>
      </c>
      <c r="L854" s="33" t="s">
        <v>14</v>
      </c>
      <c r="M854" s="34">
        <f t="shared" si="119"/>
        <v>22.5</v>
      </c>
      <c r="N854" s="27">
        <v>72.5</v>
      </c>
      <c r="O854" s="38">
        <f>(M854*0.5)*0.5</f>
        <v>5.625</v>
      </c>
      <c r="P854" s="35">
        <f t="shared" si="118"/>
        <v>0.11</v>
      </c>
      <c r="Q854" s="34">
        <f t="shared" si="120"/>
        <v>8.4375</v>
      </c>
      <c r="R854" s="35"/>
    </row>
    <row r="855" spans="1:18" x14ac:dyDescent="0.3">
      <c r="A855" s="32">
        <v>43995</v>
      </c>
      <c r="B855" s="33" t="s">
        <v>60</v>
      </c>
      <c r="C855" s="34"/>
      <c r="D855" s="31">
        <v>80</v>
      </c>
      <c r="E855" s="33"/>
      <c r="F855" s="33"/>
      <c r="G855" s="34"/>
      <c r="H855" s="34"/>
      <c r="I855" s="34"/>
      <c r="J855" s="34"/>
      <c r="K855" s="34"/>
      <c r="L855" s="33"/>
      <c r="M855" s="34"/>
      <c r="N855" s="27"/>
      <c r="O855" s="34"/>
      <c r="P855" s="35">
        <f t="shared" si="118"/>
        <v>0</v>
      </c>
      <c r="Q855" s="34"/>
      <c r="R855" s="35"/>
    </row>
    <row r="856" spans="1:18" x14ac:dyDescent="0.3">
      <c r="A856" s="32">
        <v>44009</v>
      </c>
      <c r="B856" s="33" t="s">
        <v>60</v>
      </c>
      <c r="C856" s="34"/>
      <c r="D856" s="31">
        <v>94</v>
      </c>
      <c r="E856" s="33"/>
      <c r="F856" s="33"/>
      <c r="G856" s="34"/>
      <c r="H856" s="34"/>
      <c r="I856" s="34"/>
      <c r="J856" s="34"/>
      <c r="K856" s="34"/>
      <c r="L856" s="33"/>
      <c r="M856" s="34"/>
      <c r="N856" s="27"/>
      <c r="O856" s="34"/>
      <c r="P856" s="35">
        <f t="shared" si="118"/>
        <v>0</v>
      </c>
      <c r="Q856" s="34"/>
      <c r="R856" s="35"/>
    </row>
    <row r="857" spans="1:18" x14ac:dyDescent="0.3">
      <c r="A857" s="32">
        <v>44023</v>
      </c>
      <c r="B857" s="33" t="s">
        <v>60</v>
      </c>
      <c r="C857" s="34"/>
      <c r="D857" s="31">
        <v>96</v>
      </c>
      <c r="E857" s="33"/>
      <c r="F857" s="33"/>
      <c r="G857" s="34"/>
      <c r="H857" s="34"/>
      <c r="I857" s="34"/>
      <c r="J857" s="34"/>
      <c r="K857" s="34"/>
      <c r="L857" s="33"/>
      <c r="M857" s="34"/>
      <c r="N857" s="27"/>
      <c r="O857" s="34"/>
      <c r="P857" s="35">
        <f t="shared" si="118"/>
        <v>0</v>
      </c>
      <c r="Q857" s="34"/>
      <c r="R857" s="35"/>
    </row>
    <row r="858" spans="1:18" x14ac:dyDescent="0.3">
      <c r="A858" s="37" t="s">
        <v>77</v>
      </c>
      <c r="B858" s="33" t="s">
        <v>61</v>
      </c>
      <c r="C858" s="34">
        <v>2798</v>
      </c>
      <c r="D858" s="33">
        <v>80</v>
      </c>
      <c r="E858" s="33">
        <v>275.58999999999997</v>
      </c>
      <c r="F858" s="33">
        <v>2800</v>
      </c>
      <c r="G858" s="34">
        <v>277.79000000000002</v>
      </c>
      <c r="H858" s="34">
        <v>0</v>
      </c>
      <c r="I858" s="34">
        <v>3075.79</v>
      </c>
      <c r="J858" s="34">
        <v>469.97</v>
      </c>
      <c r="K858" s="34">
        <v>3545.76</v>
      </c>
      <c r="L858" s="33" t="s">
        <v>14</v>
      </c>
      <c r="M858" s="34" t="e">
        <f t="shared" ref="M858:M899" si="121">(E858+F858)/N858</f>
        <v>#DIV/0!</v>
      </c>
      <c r="N858" s="27"/>
      <c r="O858" s="34" t="e">
        <f t="shared" ref="O858:O872" si="122">((N858-80)*M858)*0.5</f>
        <v>#DIV/0!</v>
      </c>
      <c r="P858" s="35" t="e">
        <f t="shared" si="118"/>
        <v>#VALUE!</v>
      </c>
      <c r="Q858" s="34" t="e">
        <f t="shared" ref="Q858:Q899" si="123">O858*1.5</f>
        <v>#DIV/0!</v>
      </c>
      <c r="R858" s="35">
        <v>409.55</v>
      </c>
    </row>
    <row r="859" spans="1:18" x14ac:dyDescent="0.3">
      <c r="A859" s="37" t="s">
        <v>77</v>
      </c>
      <c r="B859" s="33" t="s">
        <v>61</v>
      </c>
      <c r="C859" s="34">
        <v>1610</v>
      </c>
      <c r="D859" s="33">
        <v>70</v>
      </c>
      <c r="E859" s="33">
        <v>75.430000000000007</v>
      </c>
      <c r="F859" s="33">
        <v>1890</v>
      </c>
      <c r="G859" s="34">
        <v>355.43</v>
      </c>
      <c r="H859" s="34">
        <v>0</v>
      </c>
      <c r="I859" s="34">
        <v>1965.43</v>
      </c>
      <c r="J859" s="34">
        <v>338.2</v>
      </c>
      <c r="K859" s="34">
        <v>2303.63</v>
      </c>
      <c r="L859" s="33" t="s">
        <v>14</v>
      </c>
      <c r="M859" s="34" t="e">
        <f t="shared" si="121"/>
        <v>#DIV/0!</v>
      </c>
      <c r="N859" s="27"/>
      <c r="O859" s="34" t="e">
        <f t="shared" si="122"/>
        <v>#DIV/0!</v>
      </c>
      <c r="P859" s="35" t="e">
        <f t="shared" si="118"/>
        <v>#VALUE!</v>
      </c>
      <c r="Q859" s="34" t="e">
        <f t="shared" si="123"/>
        <v>#DIV/0!</v>
      </c>
      <c r="R859" s="35"/>
    </row>
    <row r="860" spans="1:18" x14ac:dyDescent="0.3">
      <c r="A860" s="37" t="s">
        <v>77</v>
      </c>
      <c r="B860" s="33" t="s">
        <v>61</v>
      </c>
      <c r="C860" s="34">
        <v>2599</v>
      </c>
      <c r="D860" s="33">
        <v>80</v>
      </c>
      <c r="E860" s="33">
        <v>402.9</v>
      </c>
      <c r="F860" s="33">
        <v>2800</v>
      </c>
      <c r="G860" s="34">
        <v>603.9</v>
      </c>
      <c r="H860" s="34">
        <v>0</v>
      </c>
      <c r="I860" s="34">
        <v>3202.9</v>
      </c>
      <c r="J860" s="34">
        <v>475.28</v>
      </c>
      <c r="K860" s="34">
        <v>3678.18</v>
      </c>
      <c r="L860" s="33" t="s">
        <v>14</v>
      </c>
      <c r="M860" s="34" t="e">
        <f t="shared" si="121"/>
        <v>#DIV/0!</v>
      </c>
      <c r="N860" s="27"/>
      <c r="O860" s="34" t="e">
        <f t="shared" si="122"/>
        <v>#DIV/0!</v>
      </c>
      <c r="P860" s="35" t="e">
        <f t="shared" si="118"/>
        <v>#VALUE!</v>
      </c>
      <c r="Q860" s="34" t="e">
        <f t="shared" si="123"/>
        <v>#DIV/0!</v>
      </c>
      <c r="R860" s="35"/>
    </row>
    <row r="861" spans="1:18" x14ac:dyDescent="0.3">
      <c r="A861" s="37" t="s">
        <v>77</v>
      </c>
      <c r="B861" s="33" t="s">
        <v>61</v>
      </c>
      <c r="C861" s="34">
        <v>1058</v>
      </c>
      <c r="D861" s="33">
        <v>46.5</v>
      </c>
      <c r="E861" s="33">
        <v>102.61</v>
      </c>
      <c r="F861" s="33">
        <v>1162.5</v>
      </c>
      <c r="G861" s="34">
        <v>207.11</v>
      </c>
      <c r="H861" s="34">
        <v>0</v>
      </c>
      <c r="I861" s="34">
        <v>1265.1099999999999</v>
      </c>
      <c r="J861" s="34">
        <v>220.58</v>
      </c>
      <c r="K861" s="34">
        <v>1485.69</v>
      </c>
      <c r="L861" s="33" t="s">
        <v>14</v>
      </c>
      <c r="M861" s="34" t="e">
        <f t="shared" si="121"/>
        <v>#DIV/0!</v>
      </c>
      <c r="N861" s="27"/>
      <c r="O861" s="34" t="e">
        <f t="shared" si="122"/>
        <v>#DIV/0!</v>
      </c>
      <c r="P861" s="35" t="e">
        <f t="shared" si="118"/>
        <v>#VALUE!</v>
      </c>
      <c r="Q861" s="34" t="e">
        <f t="shared" si="123"/>
        <v>#DIV/0!</v>
      </c>
      <c r="R861" s="35"/>
    </row>
    <row r="862" spans="1:18" x14ac:dyDescent="0.3">
      <c r="A862" s="37" t="s">
        <v>77</v>
      </c>
      <c r="B862" s="33" t="s">
        <v>61</v>
      </c>
      <c r="C862" s="34">
        <v>1776.42</v>
      </c>
      <c r="D862" s="33">
        <v>80</v>
      </c>
      <c r="E862" s="33">
        <v>55</v>
      </c>
      <c r="F862" s="33">
        <v>1920</v>
      </c>
      <c r="G862" s="34">
        <v>198.58</v>
      </c>
      <c r="H862" s="34">
        <v>0</v>
      </c>
      <c r="I862" s="34">
        <v>1975</v>
      </c>
      <c r="J862" s="34">
        <v>359.23</v>
      </c>
      <c r="K862" s="34">
        <v>2334.23</v>
      </c>
      <c r="L862" s="33" t="s">
        <v>14</v>
      </c>
      <c r="M862" s="34" t="e">
        <f t="shared" si="121"/>
        <v>#DIV/0!</v>
      </c>
      <c r="N862" s="27"/>
      <c r="O862" s="34" t="e">
        <f t="shared" si="122"/>
        <v>#DIV/0!</v>
      </c>
      <c r="P862" s="35" t="e">
        <f t="shared" si="118"/>
        <v>#VALUE!</v>
      </c>
      <c r="Q862" s="34" t="e">
        <f t="shared" si="123"/>
        <v>#DIV/0!</v>
      </c>
      <c r="R862" s="35"/>
    </row>
    <row r="863" spans="1:18" x14ac:dyDescent="0.3">
      <c r="A863" s="37" t="s">
        <v>77</v>
      </c>
      <c r="B863" s="33" t="s">
        <v>61</v>
      </c>
      <c r="C863" s="34">
        <v>198.58</v>
      </c>
      <c r="D863" s="33">
        <v>0</v>
      </c>
      <c r="E863" s="33">
        <v>198.58</v>
      </c>
      <c r="F863" s="33"/>
      <c r="G863" s="34">
        <v>17.05</v>
      </c>
      <c r="H863" s="34">
        <v>0</v>
      </c>
      <c r="I863" s="34">
        <v>215.63</v>
      </c>
      <c r="J863" s="34">
        <v>21.69</v>
      </c>
      <c r="K863" s="34">
        <v>237.32</v>
      </c>
      <c r="L863" s="33" t="s">
        <v>14</v>
      </c>
      <c r="M863" s="34" t="e">
        <f t="shared" si="121"/>
        <v>#DIV/0!</v>
      </c>
      <c r="N863" s="27"/>
      <c r="O863" s="34" t="e">
        <f t="shared" si="122"/>
        <v>#DIV/0!</v>
      </c>
      <c r="P863" s="35" t="e">
        <f t="shared" si="118"/>
        <v>#VALUE!</v>
      </c>
      <c r="Q863" s="34" t="e">
        <f t="shared" si="123"/>
        <v>#DIV/0!</v>
      </c>
      <c r="R863" s="35"/>
    </row>
    <row r="864" spans="1:18" x14ac:dyDescent="0.3">
      <c r="A864" s="37" t="s">
        <v>77</v>
      </c>
      <c r="B864" s="33" t="s">
        <v>61</v>
      </c>
      <c r="C864" s="34">
        <v>3000</v>
      </c>
      <c r="D864" s="33">
        <v>80</v>
      </c>
      <c r="E864" s="33">
        <v>943.48</v>
      </c>
      <c r="F864" s="33">
        <v>2800</v>
      </c>
      <c r="G864" s="34">
        <v>743.48</v>
      </c>
      <c r="H864" s="34">
        <v>0</v>
      </c>
      <c r="I864" s="34">
        <v>3743.48</v>
      </c>
      <c r="J864" s="34">
        <v>535.94000000000005</v>
      </c>
      <c r="K864" s="34">
        <v>4279.42</v>
      </c>
      <c r="L864" s="33" t="s">
        <v>14</v>
      </c>
      <c r="M864" s="34" t="e">
        <f t="shared" si="121"/>
        <v>#DIV/0!</v>
      </c>
      <c r="N864" s="27"/>
      <c r="O864" s="34" t="e">
        <f t="shared" si="122"/>
        <v>#DIV/0!</v>
      </c>
      <c r="P864" s="35" t="e">
        <f t="shared" si="118"/>
        <v>#VALUE!</v>
      </c>
      <c r="Q864" s="34" t="e">
        <f t="shared" si="123"/>
        <v>#DIV/0!</v>
      </c>
      <c r="R864" s="35"/>
    </row>
    <row r="865" spans="1:18" x14ac:dyDescent="0.3">
      <c r="A865" s="37" t="s">
        <v>77</v>
      </c>
      <c r="B865" s="33" t="s">
        <v>61</v>
      </c>
      <c r="C865" s="34">
        <v>2537</v>
      </c>
      <c r="D865" s="33">
        <v>80</v>
      </c>
      <c r="E865" s="33">
        <v>263.83999999999997</v>
      </c>
      <c r="F865" s="33">
        <v>2537</v>
      </c>
      <c r="G865" s="34">
        <v>263.83999999999997</v>
      </c>
      <c r="H865" s="34">
        <v>0</v>
      </c>
      <c r="I865" s="34">
        <v>2800.84</v>
      </c>
      <c r="J865" s="34">
        <v>425.49</v>
      </c>
      <c r="K865" s="34">
        <v>3226.33</v>
      </c>
      <c r="L865" s="33" t="s">
        <v>14</v>
      </c>
      <c r="M865" s="34" t="e">
        <f t="shared" si="121"/>
        <v>#DIV/0!</v>
      </c>
      <c r="N865" s="27"/>
      <c r="O865" s="34" t="e">
        <f t="shared" si="122"/>
        <v>#DIV/0!</v>
      </c>
      <c r="P865" s="35" t="e">
        <f t="shared" si="118"/>
        <v>#VALUE!</v>
      </c>
      <c r="Q865" s="34" t="e">
        <f t="shared" si="123"/>
        <v>#DIV/0!</v>
      </c>
      <c r="R865" s="35"/>
    </row>
    <row r="866" spans="1:18" x14ac:dyDescent="0.3">
      <c r="A866" s="37" t="s">
        <v>77</v>
      </c>
      <c r="B866" s="33" t="s">
        <v>61</v>
      </c>
      <c r="C866" s="34">
        <v>2662</v>
      </c>
      <c r="D866" s="33">
        <v>0</v>
      </c>
      <c r="E866" s="33"/>
      <c r="F866" s="33">
        <v>2662</v>
      </c>
      <c r="G866" s="34">
        <v>574.87</v>
      </c>
      <c r="H866" s="34">
        <v>0</v>
      </c>
      <c r="I866" s="34">
        <v>3236.87</v>
      </c>
      <c r="J866" s="34">
        <v>306.22000000000003</v>
      </c>
      <c r="K866" s="34">
        <v>3543.09</v>
      </c>
      <c r="L866" s="33" t="s">
        <v>14</v>
      </c>
      <c r="M866" s="34" t="e">
        <f t="shared" si="121"/>
        <v>#DIV/0!</v>
      </c>
      <c r="N866" s="27"/>
      <c r="O866" s="34" t="e">
        <f t="shared" si="122"/>
        <v>#DIV/0!</v>
      </c>
      <c r="P866" s="35" t="e">
        <f t="shared" si="118"/>
        <v>#VALUE!</v>
      </c>
      <c r="Q866" s="34" t="e">
        <f t="shared" si="123"/>
        <v>#DIV/0!</v>
      </c>
      <c r="R866" s="35"/>
    </row>
    <row r="867" spans="1:18" x14ac:dyDescent="0.3">
      <c r="A867" s="37" t="s">
        <v>77</v>
      </c>
      <c r="B867" s="33" t="s">
        <v>61</v>
      </c>
      <c r="C867" s="34">
        <v>2662</v>
      </c>
      <c r="D867" s="33">
        <v>80</v>
      </c>
      <c r="E867" s="33">
        <v>489.89</v>
      </c>
      <c r="F867" s="33">
        <v>2800</v>
      </c>
      <c r="G867" s="34">
        <v>627.89</v>
      </c>
      <c r="H867" s="34">
        <v>0</v>
      </c>
      <c r="I867" s="34">
        <v>3289.89</v>
      </c>
      <c r="J867" s="34">
        <v>471.76</v>
      </c>
      <c r="K867" s="34">
        <v>3761.65</v>
      </c>
      <c r="L867" s="33" t="s">
        <v>14</v>
      </c>
      <c r="M867" s="34" t="e">
        <f t="shared" si="121"/>
        <v>#DIV/0!</v>
      </c>
      <c r="N867" s="27"/>
      <c r="O867" s="34" t="e">
        <f t="shared" si="122"/>
        <v>#DIV/0!</v>
      </c>
      <c r="P867" s="35" t="e">
        <f t="shared" si="118"/>
        <v>#VALUE!</v>
      </c>
      <c r="Q867" s="34" t="e">
        <f t="shared" si="123"/>
        <v>#DIV/0!</v>
      </c>
      <c r="R867" s="35"/>
    </row>
    <row r="868" spans="1:18" x14ac:dyDescent="0.3">
      <c r="A868" s="37" t="s">
        <v>77</v>
      </c>
      <c r="B868" s="33" t="s">
        <v>61</v>
      </c>
      <c r="C868" s="34">
        <v>2700</v>
      </c>
      <c r="D868" s="33">
        <v>80</v>
      </c>
      <c r="E868" s="33">
        <v>537.35</v>
      </c>
      <c r="F868" s="33">
        <v>2800</v>
      </c>
      <c r="G868" s="34">
        <v>637.35</v>
      </c>
      <c r="H868" s="34">
        <v>0</v>
      </c>
      <c r="I868" s="34">
        <v>3337.35</v>
      </c>
      <c r="J868" s="34">
        <v>476.26</v>
      </c>
      <c r="K868" s="34">
        <v>3813.61</v>
      </c>
      <c r="L868" s="33" t="s">
        <v>14</v>
      </c>
      <c r="M868" s="34" t="e">
        <f t="shared" si="121"/>
        <v>#DIV/0!</v>
      </c>
      <c r="N868" s="27"/>
      <c r="O868" s="34" t="e">
        <f t="shared" si="122"/>
        <v>#DIV/0!</v>
      </c>
      <c r="P868" s="35" t="e">
        <f t="shared" si="118"/>
        <v>#VALUE!</v>
      </c>
      <c r="Q868" s="34" t="e">
        <f t="shared" si="123"/>
        <v>#DIV/0!</v>
      </c>
      <c r="R868" s="35"/>
    </row>
    <row r="869" spans="1:18" x14ac:dyDescent="0.3">
      <c r="A869" s="37" t="s">
        <v>77</v>
      </c>
      <c r="B869" s="33" t="s">
        <v>61</v>
      </c>
      <c r="C869" s="34">
        <v>2262</v>
      </c>
      <c r="D869" s="33">
        <v>80</v>
      </c>
      <c r="E869" s="33"/>
      <c r="F869" s="33">
        <v>2800</v>
      </c>
      <c r="G869" s="34">
        <v>538</v>
      </c>
      <c r="H869" s="34">
        <v>0</v>
      </c>
      <c r="I869" s="34">
        <v>2800</v>
      </c>
      <c r="J869" s="34">
        <v>425.42</v>
      </c>
      <c r="K869" s="34">
        <v>3225.42</v>
      </c>
      <c r="L869" s="33" t="s">
        <v>14</v>
      </c>
      <c r="M869" s="34" t="e">
        <f t="shared" si="121"/>
        <v>#DIV/0!</v>
      </c>
      <c r="N869" s="27"/>
      <c r="O869" s="34" t="e">
        <f t="shared" si="122"/>
        <v>#DIV/0!</v>
      </c>
      <c r="P869" s="35" t="e">
        <f t="shared" si="118"/>
        <v>#VALUE!</v>
      </c>
      <c r="Q869" s="34" t="e">
        <f t="shared" si="123"/>
        <v>#DIV/0!</v>
      </c>
      <c r="R869" s="35"/>
    </row>
    <row r="870" spans="1:18" x14ac:dyDescent="0.3">
      <c r="A870" s="37" t="s">
        <v>77</v>
      </c>
      <c r="B870" s="33" t="s">
        <v>61</v>
      </c>
      <c r="C870" s="34">
        <v>2262</v>
      </c>
      <c r="D870" s="33">
        <v>80</v>
      </c>
      <c r="E870" s="33"/>
      <c r="F870" s="33">
        <v>2800</v>
      </c>
      <c r="G870" s="34">
        <v>538</v>
      </c>
      <c r="H870" s="34">
        <v>0</v>
      </c>
      <c r="I870" s="34">
        <v>2800</v>
      </c>
      <c r="J870" s="34">
        <v>420.66</v>
      </c>
      <c r="K870" s="34">
        <v>3220.66</v>
      </c>
      <c r="L870" s="33" t="s">
        <v>14</v>
      </c>
      <c r="M870" s="34" t="e">
        <f t="shared" si="121"/>
        <v>#DIV/0!</v>
      </c>
      <c r="N870" s="27"/>
      <c r="O870" s="34" t="e">
        <f t="shared" si="122"/>
        <v>#DIV/0!</v>
      </c>
      <c r="P870" s="35" t="e">
        <f t="shared" si="118"/>
        <v>#VALUE!</v>
      </c>
      <c r="Q870" s="34" t="e">
        <f t="shared" si="123"/>
        <v>#DIV/0!</v>
      </c>
      <c r="R870" s="35"/>
    </row>
    <row r="871" spans="1:18" x14ac:dyDescent="0.3">
      <c r="A871" s="37" t="s">
        <v>77</v>
      </c>
      <c r="B871" s="33" t="s">
        <v>61</v>
      </c>
      <c r="C871" s="34">
        <v>2162</v>
      </c>
      <c r="D871" s="33">
        <v>80</v>
      </c>
      <c r="E871" s="33"/>
      <c r="F871" s="33">
        <v>2800</v>
      </c>
      <c r="G871" s="34">
        <v>638</v>
      </c>
      <c r="H871" s="34">
        <v>0</v>
      </c>
      <c r="I871" s="34">
        <v>2800</v>
      </c>
      <c r="J871" s="34">
        <v>420.66</v>
      </c>
      <c r="K871" s="34">
        <v>3220.66</v>
      </c>
      <c r="L871" s="33" t="s">
        <v>14</v>
      </c>
      <c r="M871" s="34" t="e">
        <f t="shared" si="121"/>
        <v>#DIV/0!</v>
      </c>
      <c r="N871" s="27"/>
      <c r="O871" s="34" t="e">
        <f t="shared" si="122"/>
        <v>#DIV/0!</v>
      </c>
      <c r="P871" s="35" t="e">
        <f t="shared" si="118"/>
        <v>#VALUE!</v>
      </c>
      <c r="Q871" s="34" t="e">
        <f t="shared" si="123"/>
        <v>#DIV/0!</v>
      </c>
      <c r="R871" s="35"/>
    </row>
    <row r="872" spans="1:18" x14ac:dyDescent="0.3">
      <c r="A872" s="37" t="s">
        <v>77</v>
      </c>
      <c r="B872" s="33" t="s">
        <v>61</v>
      </c>
      <c r="C872" s="34">
        <v>2300</v>
      </c>
      <c r="D872" s="33">
        <v>80</v>
      </c>
      <c r="E872" s="33">
        <v>37.94</v>
      </c>
      <c r="F872" s="33">
        <v>2800</v>
      </c>
      <c r="G872" s="34">
        <v>537.94000000000005</v>
      </c>
      <c r="H872" s="34">
        <v>0</v>
      </c>
      <c r="I872" s="34">
        <v>2837.94</v>
      </c>
      <c r="J872" s="34">
        <v>424.18</v>
      </c>
      <c r="K872" s="34">
        <v>3262.12</v>
      </c>
      <c r="L872" s="33" t="s">
        <v>14</v>
      </c>
      <c r="M872" s="34" t="e">
        <f t="shared" si="121"/>
        <v>#DIV/0!</v>
      </c>
      <c r="N872" s="27"/>
      <c r="O872" s="34" t="e">
        <f t="shared" si="122"/>
        <v>#DIV/0!</v>
      </c>
      <c r="P872" s="35" t="e">
        <f t="shared" si="118"/>
        <v>#VALUE!</v>
      </c>
      <c r="Q872" s="34" t="e">
        <f t="shared" si="123"/>
        <v>#DIV/0!</v>
      </c>
      <c r="R872" s="35"/>
    </row>
    <row r="873" spans="1:18" x14ac:dyDescent="0.3">
      <c r="A873" s="32">
        <v>43623</v>
      </c>
      <c r="B873" s="33" t="s">
        <v>61</v>
      </c>
      <c r="C873" s="34">
        <v>1950</v>
      </c>
      <c r="D873" s="36">
        <v>51</v>
      </c>
      <c r="E873" s="33"/>
      <c r="F873" s="33">
        <v>2730</v>
      </c>
      <c r="G873" s="34">
        <v>780</v>
      </c>
      <c r="H873" s="34">
        <v>0</v>
      </c>
      <c r="I873" s="34">
        <v>2730</v>
      </c>
      <c r="J873" s="34">
        <v>410.15</v>
      </c>
      <c r="K873" s="34">
        <v>3140.15</v>
      </c>
      <c r="L873" s="33" t="s">
        <v>14</v>
      </c>
      <c r="M873" s="34">
        <f t="shared" si="121"/>
        <v>53.529411764705884</v>
      </c>
      <c r="N873" s="27">
        <v>51</v>
      </c>
      <c r="O873" s="34">
        <v>0</v>
      </c>
      <c r="P873" s="35">
        <f t="shared" si="118"/>
        <v>0</v>
      </c>
      <c r="Q873" s="34">
        <f t="shared" si="123"/>
        <v>0</v>
      </c>
      <c r="R873" s="35"/>
    </row>
    <row r="874" spans="1:18" x14ac:dyDescent="0.3">
      <c r="A874" s="32">
        <v>43637</v>
      </c>
      <c r="B874" s="33" t="s">
        <v>61</v>
      </c>
      <c r="C874" s="34">
        <v>2992</v>
      </c>
      <c r="D874" s="33">
        <v>78</v>
      </c>
      <c r="E874" s="33">
        <v>801.93</v>
      </c>
      <c r="F874" s="33">
        <v>2730</v>
      </c>
      <c r="G874" s="34">
        <v>519.92999999999995</v>
      </c>
      <c r="H874" s="34">
        <v>20</v>
      </c>
      <c r="I874" s="34">
        <v>3531.93</v>
      </c>
      <c r="J874" s="34">
        <v>484.64</v>
      </c>
      <c r="K874" s="34">
        <v>4016.57</v>
      </c>
      <c r="L874" s="33" t="s">
        <v>14</v>
      </c>
      <c r="M874" s="34">
        <f t="shared" si="121"/>
        <v>29.310622406639002</v>
      </c>
      <c r="N874" s="27">
        <v>120.5</v>
      </c>
      <c r="O874" s="34">
        <f>((N874-80)*M874)*0.5</f>
        <v>593.54010373443975</v>
      </c>
      <c r="P874" s="35">
        <f t="shared" si="118"/>
        <v>83.1</v>
      </c>
      <c r="Q874" s="34">
        <f t="shared" si="123"/>
        <v>890.31015560165963</v>
      </c>
      <c r="R874" s="35"/>
    </row>
    <row r="875" spans="1:18" x14ac:dyDescent="0.3">
      <c r="A875" s="32">
        <v>43651</v>
      </c>
      <c r="B875" s="33" t="s">
        <v>61</v>
      </c>
      <c r="C875" s="34">
        <v>1732</v>
      </c>
      <c r="D875" s="36">
        <v>26</v>
      </c>
      <c r="E875" s="33">
        <v>203.57</v>
      </c>
      <c r="F875" s="33">
        <v>1750</v>
      </c>
      <c r="G875" s="34">
        <v>191.57</v>
      </c>
      <c r="H875" s="34">
        <v>30</v>
      </c>
      <c r="I875" s="34">
        <v>1953.57</v>
      </c>
      <c r="J875" s="34">
        <v>321.95999999999998</v>
      </c>
      <c r="K875" s="34">
        <v>2275.5300000000002</v>
      </c>
      <c r="L875" s="33" t="s">
        <v>14</v>
      </c>
      <c r="M875" s="34">
        <f t="shared" si="121"/>
        <v>75.137307692307687</v>
      </c>
      <c r="N875" s="27">
        <v>26</v>
      </c>
      <c r="O875" s="34">
        <v>0</v>
      </c>
      <c r="P875" s="35">
        <f t="shared" si="118"/>
        <v>0</v>
      </c>
      <c r="Q875" s="34">
        <f t="shared" si="123"/>
        <v>0</v>
      </c>
      <c r="R875" s="35"/>
    </row>
    <row r="876" spans="1:18" x14ac:dyDescent="0.3">
      <c r="A876" s="32">
        <v>43665</v>
      </c>
      <c r="B876" s="33" t="s">
        <v>61</v>
      </c>
      <c r="C876" s="34">
        <v>1647</v>
      </c>
      <c r="D876" s="36">
        <v>68.5</v>
      </c>
      <c r="E876" s="33">
        <v>204.64</v>
      </c>
      <c r="F876" s="33">
        <v>1712</v>
      </c>
      <c r="G876" s="34">
        <v>204.64</v>
      </c>
      <c r="H876" s="34">
        <v>65</v>
      </c>
      <c r="I876" s="34">
        <v>1916.64</v>
      </c>
      <c r="J876" s="34">
        <v>314.51</v>
      </c>
      <c r="K876" s="34">
        <v>2231.15</v>
      </c>
      <c r="L876" s="33" t="s">
        <v>14</v>
      </c>
      <c r="M876" s="34">
        <f t="shared" si="121"/>
        <v>27.980145985401457</v>
      </c>
      <c r="N876" s="27">
        <v>68.5</v>
      </c>
      <c r="O876" s="34">
        <v>0</v>
      </c>
      <c r="P876" s="35">
        <f t="shared" si="118"/>
        <v>0</v>
      </c>
      <c r="Q876" s="34">
        <f t="shared" si="123"/>
        <v>0</v>
      </c>
      <c r="R876" s="35"/>
    </row>
    <row r="877" spans="1:18" x14ac:dyDescent="0.3">
      <c r="A877" s="32">
        <v>43679</v>
      </c>
      <c r="B877" s="33" t="s">
        <v>61</v>
      </c>
      <c r="C877" s="34">
        <v>2862</v>
      </c>
      <c r="D877" s="33">
        <v>80</v>
      </c>
      <c r="E877" s="33">
        <v>483.91</v>
      </c>
      <c r="F877" s="33">
        <v>2862</v>
      </c>
      <c r="G877" s="34">
        <v>483.97</v>
      </c>
      <c r="H877" s="34">
        <v>-0.06</v>
      </c>
      <c r="I877" s="34">
        <v>3345.91</v>
      </c>
      <c r="J877" s="34">
        <v>471.37</v>
      </c>
      <c r="K877" s="34">
        <v>3817.28</v>
      </c>
      <c r="L877" s="33" t="s">
        <v>14</v>
      </c>
      <c r="M877" s="34">
        <f t="shared" si="121"/>
        <v>30.417363636363635</v>
      </c>
      <c r="N877" s="27">
        <v>110</v>
      </c>
      <c r="O877" s="34">
        <f>((N877-80)*M877)*0.5</f>
        <v>456.26045454545454</v>
      </c>
      <c r="P877" s="35">
        <f t="shared" si="118"/>
        <v>59.31</v>
      </c>
      <c r="Q877" s="34">
        <f t="shared" si="123"/>
        <v>684.39068181818175</v>
      </c>
      <c r="R877" s="35"/>
    </row>
    <row r="878" spans="1:18" x14ac:dyDescent="0.3">
      <c r="A878" s="32">
        <v>43693</v>
      </c>
      <c r="B878" s="33" t="s">
        <v>61</v>
      </c>
      <c r="C878" s="34">
        <v>2362</v>
      </c>
      <c r="D878" s="33">
        <v>80</v>
      </c>
      <c r="E878" s="33">
        <v>372.16</v>
      </c>
      <c r="F878" s="33">
        <v>2412</v>
      </c>
      <c r="G878" s="34">
        <v>372.16</v>
      </c>
      <c r="H878" s="34">
        <v>50</v>
      </c>
      <c r="I878" s="34">
        <v>2784.16</v>
      </c>
      <c r="J878" s="34">
        <v>419.19</v>
      </c>
      <c r="K878" s="34">
        <v>3203.35</v>
      </c>
      <c r="L878" s="33" t="s">
        <v>14</v>
      </c>
      <c r="M878" s="34">
        <f t="shared" si="121"/>
        <v>27.430147783251229</v>
      </c>
      <c r="N878" s="27">
        <v>101.5</v>
      </c>
      <c r="O878" s="34">
        <f>((N878-80)*M878)*0.5</f>
        <v>294.87408866995071</v>
      </c>
      <c r="P878" s="35">
        <f t="shared" si="118"/>
        <v>35.380000000000003</v>
      </c>
      <c r="Q878" s="34">
        <f t="shared" si="123"/>
        <v>442.31113300492609</v>
      </c>
      <c r="R878" s="35"/>
    </row>
    <row r="879" spans="1:18" x14ac:dyDescent="0.3">
      <c r="A879" s="32">
        <v>43707</v>
      </c>
      <c r="B879" s="33" t="s">
        <v>61</v>
      </c>
      <c r="C879" s="34">
        <v>3300</v>
      </c>
      <c r="D879" s="33">
        <v>80</v>
      </c>
      <c r="E879" s="33">
        <v>605.24</v>
      </c>
      <c r="F879" s="33">
        <v>3350</v>
      </c>
      <c r="G879" s="34">
        <v>605.24</v>
      </c>
      <c r="H879" s="34">
        <v>50</v>
      </c>
      <c r="I879" s="34">
        <v>3955.24</v>
      </c>
      <c r="J879" s="34">
        <v>503.04</v>
      </c>
      <c r="K879" s="34">
        <v>4458.28</v>
      </c>
      <c r="L879" s="33" t="s">
        <v>14</v>
      </c>
      <c r="M879" s="34">
        <f t="shared" si="121"/>
        <v>29.516716417910445</v>
      </c>
      <c r="N879" s="27">
        <v>134</v>
      </c>
      <c r="O879" s="34">
        <f>((N879-80)*M879)*0.5</f>
        <v>796.95134328358199</v>
      </c>
      <c r="P879" s="35">
        <f t="shared" si="118"/>
        <v>95.63</v>
      </c>
      <c r="Q879" s="34">
        <f t="shared" si="123"/>
        <v>1195.427014925373</v>
      </c>
      <c r="R879" s="35"/>
    </row>
    <row r="880" spans="1:18" x14ac:dyDescent="0.3">
      <c r="A880" s="32">
        <v>43721</v>
      </c>
      <c r="B880" s="33" t="s">
        <v>61</v>
      </c>
      <c r="C880" s="34">
        <v>2350</v>
      </c>
      <c r="D880" s="36">
        <v>54</v>
      </c>
      <c r="E880" s="33">
        <v>356.76</v>
      </c>
      <c r="F880" s="33">
        <v>2350</v>
      </c>
      <c r="G880" s="34">
        <v>356.76</v>
      </c>
      <c r="H880" s="34">
        <v>0</v>
      </c>
      <c r="I880" s="34">
        <v>2706.76</v>
      </c>
      <c r="J880" s="34">
        <v>367.61</v>
      </c>
      <c r="K880" s="34">
        <v>3074.37</v>
      </c>
      <c r="L880" s="33" t="s">
        <v>14</v>
      </c>
      <c r="M880" s="34">
        <f t="shared" si="121"/>
        <v>28.949304812834228</v>
      </c>
      <c r="N880" s="27">
        <v>93.5</v>
      </c>
      <c r="O880" s="38">
        <f>(M880*0.5)*14</f>
        <v>202.64513368983961</v>
      </c>
      <c r="P880" s="35">
        <f t="shared" si="118"/>
        <v>22.29</v>
      </c>
      <c r="Q880" s="34">
        <f t="shared" si="123"/>
        <v>303.96770053475939</v>
      </c>
      <c r="R880" s="35"/>
    </row>
    <row r="881" spans="1:18" x14ac:dyDescent="0.3">
      <c r="A881" s="32">
        <v>43735</v>
      </c>
      <c r="B881" s="33" t="s">
        <v>61</v>
      </c>
      <c r="C881" s="34">
        <v>2950</v>
      </c>
      <c r="D881" s="33">
        <v>80</v>
      </c>
      <c r="E881" s="33">
        <v>505.84</v>
      </c>
      <c r="F881" s="33">
        <v>2950</v>
      </c>
      <c r="G881" s="34">
        <v>505.84</v>
      </c>
      <c r="H881" s="34">
        <v>0</v>
      </c>
      <c r="I881" s="34">
        <v>3455.84</v>
      </c>
      <c r="J881" s="34">
        <v>424.91</v>
      </c>
      <c r="K881" s="34">
        <v>3880.75</v>
      </c>
      <c r="L881" s="33" t="s">
        <v>14</v>
      </c>
      <c r="M881" s="34">
        <f t="shared" si="121"/>
        <v>29.286779661016951</v>
      </c>
      <c r="N881" s="27">
        <v>118</v>
      </c>
      <c r="O881" s="34">
        <f>((N881-80)*M881)*0.5</f>
        <v>556.44881355932205</v>
      </c>
      <c r="P881" s="35">
        <f t="shared" si="118"/>
        <v>61.21</v>
      </c>
      <c r="Q881" s="34">
        <f t="shared" si="123"/>
        <v>834.67322033898313</v>
      </c>
      <c r="R881" s="35"/>
    </row>
    <row r="882" spans="1:18" x14ac:dyDescent="0.3">
      <c r="A882" s="32">
        <v>43749</v>
      </c>
      <c r="B882" s="33" t="s">
        <v>61</v>
      </c>
      <c r="C882" s="34">
        <v>3180</v>
      </c>
      <c r="D882" s="33">
        <v>80</v>
      </c>
      <c r="E882" s="33">
        <v>580.4</v>
      </c>
      <c r="F882" s="33">
        <v>3250</v>
      </c>
      <c r="G882" s="34">
        <v>580.4</v>
      </c>
      <c r="H882" s="34">
        <v>70</v>
      </c>
      <c r="I882" s="34">
        <v>3830.4</v>
      </c>
      <c r="J882" s="34">
        <v>453.57</v>
      </c>
      <c r="K882" s="34">
        <v>4283.97</v>
      </c>
      <c r="L882" s="33" t="s">
        <v>14</v>
      </c>
      <c r="M882" s="34">
        <f t="shared" si="121"/>
        <v>29.464615384615385</v>
      </c>
      <c r="N882" s="27">
        <v>130</v>
      </c>
      <c r="O882" s="34">
        <f>((N882-80)*M882)*0.5</f>
        <v>736.61538461538464</v>
      </c>
      <c r="P882" s="35">
        <f t="shared" si="118"/>
        <v>73.66</v>
      </c>
      <c r="Q882" s="34">
        <f t="shared" si="123"/>
        <v>1104.9230769230769</v>
      </c>
      <c r="R882" s="35"/>
    </row>
    <row r="883" spans="1:18" x14ac:dyDescent="0.3">
      <c r="A883" s="32">
        <v>43763</v>
      </c>
      <c r="B883" s="33" t="s">
        <v>61</v>
      </c>
      <c r="C883" s="34">
        <v>2335</v>
      </c>
      <c r="D883" s="33">
        <v>80</v>
      </c>
      <c r="E883" s="33">
        <v>362.96</v>
      </c>
      <c r="F883" s="33">
        <v>2375</v>
      </c>
      <c r="G883" s="34">
        <v>362.96</v>
      </c>
      <c r="H883" s="34">
        <v>40</v>
      </c>
      <c r="I883" s="34">
        <v>2737.96</v>
      </c>
      <c r="J883" s="34">
        <v>369.99</v>
      </c>
      <c r="K883" s="34">
        <v>3107.95</v>
      </c>
      <c r="L883" s="33" t="s">
        <v>14</v>
      </c>
      <c r="M883" s="34">
        <f t="shared" si="121"/>
        <v>28.820631578947367</v>
      </c>
      <c r="N883" s="27">
        <v>95</v>
      </c>
      <c r="O883" s="34">
        <f>((N883-80)*M883)*0.5</f>
        <v>216.15473684210525</v>
      </c>
      <c r="P883" s="35">
        <f t="shared" si="118"/>
        <v>21.62</v>
      </c>
      <c r="Q883" s="34">
        <f t="shared" si="123"/>
        <v>324.23210526315791</v>
      </c>
      <c r="R883" s="35"/>
    </row>
    <row r="884" spans="1:18" x14ac:dyDescent="0.3">
      <c r="A884" s="32">
        <v>43777</v>
      </c>
      <c r="B884" s="33" t="s">
        <v>61</v>
      </c>
      <c r="C884" s="34">
        <v>2950</v>
      </c>
      <c r="D884" s="33">
        <v>80</v>
      </c>
      <c r="E884" s="33">
        <v>518.27</v>
      </c>
      <c r="F884" s="33">
        <v>3000</v>
      </c>
      <c r="G884" s="34">
        <v>518.27</v>
      </c>
      <c r="H884" s="34">
        <v>50</v>
      </c>
      <c r="I884" s="34">
        <v>3518.27</v>
      </c>
      <c r="J884" s="34">
        <v>429.69</v>
      </c>
      <c r="K884" s="34">
        <v>3947.96</v>
      </c>
      <c r="L884" s="33" t="s">
        <v>14</v>
      </c>
      <c r="M884" s="34">
        <f t="shared" si="121"/>
        <v>29.318916666666667</v>
      </c>
      <c r="N884" s="27">
        <v>120</v>
      </c>
      <c r="O884" s="34">
        <f>((N884-80)*M884)*0.5</f>
        <v>586.37833333333333</v>
      </c>
      <c r="P884" s="35">
        <f t="shared" si="118"/>
        <v>52.77</v>
      </c>
      <c r="Q884" s="34">
        <f t="shared" si="123"/>
        <v>879.5675</v>
      </c>
      <c r="R884" s="35"/>
    </row>
    <row r="885" spans="1:18" x14ac:dyDescent="0.3">
      <c r="A885" s="32">
        <v>43791</v>
      </c>
      <c r="B885" s="33" t="s">
        <v>61</v>
      </c>
      <c r="C885" s="34">
        <v>1837</v>
      </c>
      <c r="D885" s="36">
        <v>56</v>
      </c>
      <c r="E885" s="33">
        <v>239.66</v>
      </c>
      <c r="F885" s="33">
        <v>1837</v>
      </c>
      <c r="G885" s="34">
        <v>239.66</v>
      </c>
      <c r="H885" s="34">
        <v>0</v>
      </c>
      <c r="I885" s="34">
        <v>2076.66</v>
      </c>
      <c r="J885" s="34">
        <v>319.41000000000003</v>
      </c>
      <c r="K885" s="34">
        <v>2396.0700000000002</v>
      </c>
      <c r="L885" s="33" t="s">
        <v>14</v>
      </c>
      <c r="M885" s="34">
        <f t="shared" si="121"/>
        <v>28.44739726027397</v>
      </c>
      <c r="N885" s="27">
        <v>73</v>
      </c>
      <c r="O885" s="38">
        <f>(M885*0.5)*16</f>
        <v>227.57917808219176</v>
      </c>
      <c r="P885" s="35">
        <f t="shared" si="118"/>
        <v>20.48</v>
      </c>
      <c r="Q885" s="34">
        <f t="shared" si="123"/>
        <v>341.36876712328763</v>
      </c>
      <c r="R885" s="35"/>
    </row>
    <row r="886" spans="1:18" x14ac:dyDescent="0.3">
      <c r="A886" s="32">
        <v>43805</v>
      </c>
      <c r="B886" s="33" t="s">
        <v>61</v>
      </c>
      <c r="C886" s="34">
        <v>2150</v>
      </c>
      <c r="D886" s="36">
        <v>58</v>
      </c>
      <c r="E886" s="33">
        <v>307.92</v>
      </c>
      <c r="F886" s="33">
        <v>2150</v>
      </c>
      <c r="G886" s="34">
        <v>307.92</v>
      </c>
      <c r="H886" s="34">
        <v>0</v>
      </c>
      <c r="I886" s="34">
        <v>2457.92</v>
      </c>
      <c r="J886" s="34">
        <v>348.57</v>
      </c>
      <c r="K886" s="34">
        <v>2806.49</v>
      </c>
      <c r="L886" s="33" t="s">
        <v>14</v>
      </c>
      <c r="M886" s="34">
        <f t="shared" si="121"/>
        <v>28.580465116279072</v>
      </c>
      <c r="N886" s="27">
        <v>86</v>
      </c>
      <c r="O886" s="38">
        <f>(M886*0.5)*18</f>
        <v>257.22418604651165</v>
      </c>
      <c r="P886" s="35">
        <f t="shared" si="118"/>
        <v>23.15</v>
      </c>
      <c r="Q886" s="34">
        <f t="shared" si="123"/>
        <v>385.83627906976744</v>
      </c>
      <c r="R886" s="35"/>
    </row>
    <row r="887" spans="1:18" x14ac:dyDescent="0.3">
      <c r="A887" s="32">
        <v>43819</v>
      </c>
      <c r="B887" s="33" t="s">
        <v>61</v>
      </c>
      <c r="C887" s="34">
        <v>2887</v>
      </c>
      <c r="D887" s="33">
        <v>80</v>
      </c>
      <c r="E887" s="33">
        <v>490.18</v>
      </c>
      <c r="F887" s="33">
        <v>2887</v>
      </c>
      <c r="G887" s="34">
        <v>490.18</v>
      </c>
      <c r="H887" s="34">
        <v>0</v>
      </c>
      <c r="I887" s="34">
        <v>3377.18</v>
      </c>
      <c r="J887" s="34">
        <v>418.89</v>
      </c>
      <c r="K887" s="34">
        <v>3796.07</v>
      </c>
      <c r="L887" s="33" t="s">
        <v>14</v>
      </c>
      <c r="M887" s="34">
        <f t="shared" si="121"/>
        <v>29.239653679653678</v>
      </c>
      <c r="N887" s="27">
        <v>115.5</v>
      </c>
      <c r="O887" s="34">
        <f>((N887-80)*M887)*0.5</f>
        <v>519.00385281385275</v>
      </c>
      <c r="P887" s="35">
        <f t="shared" si="118"/>
        <v>41.52</v>
      </c>
      <c r="Q887" s="34">
        <f t="shared" si="123"/>
        <v>778.50577922077912</v>
      </c>
      <c r="R887" s="35"/>
    </row>
    <row r="888" spans="1:18" x14ac:dyDescent="0.3">
      <c r="A888" s="32">
        <v>43833</v>
      </c>
      <c r="B888" s="33" t="s">
        <v>61</v>
      </c>
      <c r="C888" s="34">
        <v>2622</v>
      </c>
      <c r="D888" s="36">
        <v>56.5</v>
      </c>
      <c r="E888" s="33">
        <v>418.81</v>
      </c>
      <c r="F888" s="33">
        <v>2622</v>
      </c>
      <c r="G888" s="34">
        <v>418.81</v>
      </c>
      <c r="H888" s="34">
        <v>0</v>
      </c>
      <c r="I888" s="34">
        <v>3040.81</v>
      </c>
      <c r="J888" s="34">
        <v>461.27</v>
      </c>
      <c r="K888" s="34">
        <v>3502.08</v>
      </c>
      <c r="L888" s="33" t="s">
        <v>14</v>
      </c>
      <c r="M888" s="34">
        <f t="shared" si="121"/>
        <v>34.359435028248583</v>
      </c>
      <c r="N888" s="27">
        <v>88.5</v>
      </c>
      <c r="O888" s="38">
        <f>(M888*0.5)*16.5</f>
        <v>283.4653389830508</v>
      </c>
      <c r="P888" s="35">
        <f t="shared" si="118"/>
        <v>22.68</v>
      </c>
      <c r="Q888" s="34">
        <f t="shared" si="123"/>
        <v>425.19800847457623</v>
      </c>
      <c r="R888" s="35"/>
    </row>
    <row r="889" spans="1:18" x14ac:dyDescent="0.3">
      <c r="A889" s="32">
        <v>43847</v>
      </c>
      <c r="B889" s="33" t="s">
        <v>61</v>
      </c>
      <c r="C889" s="34">
        <v>2958</v>
      </c>
      <c r="D889" s="36">
        <v>52.5</v>
      </c>
      <c r="E889" s="33"/>
      <c r="F889" s="36">
        <v>1458</v>
      </c>
      <c r="G889" s="34">
        <v>390.66</v>
      </c>
      <c r="H889" s="34">
        <v>0</v>
      </c>
      <c r="I889" s="34">
        <v>3348.66</v>
      </c>
      <c r="J889" s="34">
        <v>408.94</v>
      </c>
      <c r="K889" s="34">
        <v>3757.6</v>
      </c>
      <c r="L889" s="33" t="s">
        <v>14</v>
      </c>
      <c r="M889" s="34">
        <f t="shared" si="121"/>
        <v>27.771428571428572</v>
      </c>
      <c r="N889" s="27">
        <v>52.5</v>
      </c>
      <c r="O889" s="38">
        <f>(M889*0.5)*12.5</f>
        <v>173.57142857142858</v>
      </c>
      <c r="P889" s="35">
        <f t="shared" si="118"/>
        <v>12.15</v>
      </c>
      <c r="Q889" s="34">
        <f t="shared" si="123"/>
        <v>260.35714285714289</v>
      </c>
      <c r="R889" s="35"/>
    </row>
    <row r="890" spans="1:18" x14ac:dyDescent="0.3">
      <c r="A890" s="32">
        <v>43861</v>
      </c>
      <c r="B890" s="33" t="s">
        <v>61</v>
      </c>
      <c r="C890" s="34">
        <v>3255</v>
      </c>
      <c r="D890" s="33">
        <v>80</v>
      </c>
      <c r="E890" s="33"/>
      <c r="F890" s="33">
        <v>3267</v>
      </c>
      <c r="G890" s="34">
        <v>463.84</v>
      </c>
      <c r="H890" s="34">
        <v>12</v>
      </c>
      <c r="I890" s="34">
        <v>3730.84</v>
      </c>
      <c r="J890" s="34">
        <v>470.05</v>
      </c>
      <c r="K890" s="34">
        <v>4200.8900000000003</v>
      </c>
      <c r="L890" s="33" t="s">
        <v>14</v>
      </c>
      <c r="M890" s="34">
        <f t="shared" si="121"/>
        <v>27</v>
      </c>
      <c r="N890" s="27">
        <v>121</v>
      </c>
      <c r="O890" s="34">
        <f>((N890-80)*M890)*0.5</f>
        <v>553.5</v>
      </c>
      <c r="P890" s="35">
        <f t="shared" si="118"/>
        <v>38.75</v>
      </c>
      <c r="Q890" s="34">
        <f t="shared" si="123"/>
        <v>830.25</v>
      </c>
      <c r="R890" s="35"/>
    </row>
    <row r="891" spans="1:18" x14ac:dyDescent="0.3">
      <c r="A891" s="32">
        <v>43875</v>
      </c>
      <c r="B891" s="33" t="s">
        <v>61</v>
      </c>
      <c r="C891" s="34">
        <v>2578</v>
      </c>
      <c r="D891" s="33">
        <v>80</v>
      </c>
      <c r="E891" s="33"/>
      <c r="F891" s="33">
        <v>2578</v>
      </c>
      <c r="G891" s="34">
        <v>317.89999999999998</v>
      </c>
      <c r="H891" s="34">
        <v>0</v>
      </c>
      <c r="I891" s="34">
        <v>2895.9</v>
      </c>
      <c r="J891" s="34">
        <v>351.93</v>
      </c>
      <c r="K891" s="34">
        <v>3247.83</v>
      </c>
      <c r="L891" s="33" t="s">
        <v>14</v>
      </c>
      <c r="M891" s="34">
        <f t="shared" si="121"/>
        <v>26.994764397905758</v>
      </c>
      <c r="N891" s="27">
        <v>95.5</v>
      </c>
      <c r="O891" s="34">
        <f>((N891-80)*M891)*0.5</f>
        <v>209.20942408376962</v>
      </c>
      <c r="P891" s="35">
        <f t="shared" si="118"/>
        <v>12.55</v>
      </c>
      <c r="Q891" s="34">
        <f t="shared" si="123"/>
        <v>313.81413612565444</v>
      </c>
      <c r="R891" s="35"/>
    </row>
    <row r="892" spans="1:18" x14ac:dyDescent="0.3">
      <c r="A892" s="32">
        <v>43889</v>
      </c>
      <c r="B892" s="33" t="s">
        <v>61</v>
      </c>
      <c r="C892" s="34">
        <v>3486</v>
      </c>
      <c r="D892" s="33">
        <v>80</v>
      </c>
      <c r="E892" s="33"/>
      <c r="F892" s="33">
        <v>3486</v>
      </c>
      <c r="G892" s="34">
        <v>498.6</v>
      </c>
      <c r="H892" s="34">
        <v>0</v>
      </c>
      <c r="I892" s="34">
        <v>3984.6</v>
      </c>
      <c r="J892" s="34">
        <v>436.26</v>
      </c>
      <c r="K892" s="34">
        <v>4420.8599999999997</v>
      </c>
      <c r="L892" s="33" t="s">
        <v>14</v>
      </c>
      <c r="M892" s="34">
        <f t="shared" si="121"/>
        <v>28.691358024691358</v>
      </c>
      <c r="N892" s="27">
        <v>121.5</v>
      </c>
      <c r="O892" s="34">
        <f>((N892-80)*M892)*0.5</f>
        <v>595.34567901234561</v>
      </c>
      <c r="P892" s="35">
        <f t="shared" si="118"/>
        <v>35.72</v>
      </c>
      <c r="Q892" s="34">
        <f t="shared" si="123"/>
        <v>893.01851851851848</v>
      </c>
      <c r="R892" s="35"/>
    </row>
    <row r="893" spans="1:18" x14ac:dyDescent="0.3">
      <c r="A893" s="32">
        <v>43903</v>
      </c>
      <c r="B893" s="33" t="s">
        <v>61</v>
      </c>
      <c r="C893" s="34">
        <v>2310</v>
      </c>
      <c r="D893" s="33">
        <v>80</v>
      </c>
      <c r="E893" s="33"/>
      <c r="F893" s="33">
        <v>2310</v>
      </c>
      <c r="G893" s="34">
        <v>269.14999999999998</v>
      </c>
      <c r="H893" s="34">
        <v>0</v>
      </c>
      <c r="I893" s="34">
        <v>2579.15</v>
      </c>
      <c r="J893" s="34">
        <v>327.02</v>
      </c>
      <c r="K893" s="34">
        <v>2906.17</v>
      </c>
      <c r="L893" s="33" t="s">
        <v>14</v>
      </c>
      <c r="M893" s="34">
        <f t="shared" si="121"/>
        <v>28</v>
      </c>
      <c r="N893" s="27">
        <v>82.5</v>
      </c>
      <c r="O893" s="34">
        <f>((N893-80)*M893)*0.5</f>
        <v>35</v>
      </c>
      <c r="P893" s="35">
        <f t="shared" si="118"/>
        <v>1.75</v>
      </c>
      <c r="Q893" s="34">
        <f t="shared" si="123"/>
        <v>52.5</v>
      </c>
      <c r="R893" s="35"/>
    </row>
    <row r="894" spans="1:18" x14ac:dyDescent="0.3">
      <c r="A894" s="32">
        <v>43917</v>
      </c>
      <c r="B894" s="33" t="s">
        <v>61</v>
      </c>
      <c r="C894" s="34">
        <v>2511.87</v>
      </c>
      <c r="D894" s="33">
        <v>87</v>
      </c>
      <c r="E894" s="33"/>
      <c r="F894" s="36">
        <v>2896</v>
      </c>
      <c r="G894" s="34">
        <v>384.13</v>
      </c>
      <c r="H894" s="34">
        <v>0</v>
      </c>
      <c r="I894" s="34">
        <v>2896</v>
      </c>
      <c r="J894" s="34">
        <v>391.29</v>
      </c>
      <c r="K894" s="34">
        <v>3287.29</v>
      </c>
      <c r="L894" s="33" t="s">
        <v>14</v>
      </c>
      <c r="M894" s="34">
        <f t="shared" si="121"/>
        <v>33.287356321839077</v>
      </c>
      <c r="N894" s="27">
        <v>87</v>
      </c>
      <c r="O894" s="34">
        <f>((N894-80)*M894)*0.5</f>
        <v>116.50574712643677</v>
      </c>
      <c r="P894" s="35">
        <f t="shared" si="118"/>
        <v>5.83</v>
      </c>
      <c r="Q894" s="34">
        <f t="shared" si="123"/>
        <v>174.75862068965517</v>
      </c>
      <c r="R894" s="35"/>
    </row>
    <row r="895" spans="1:18" x14ac:dyDescent="0.3">
      <c r="A895" s="32">
        <v>43931</v>
      </c>
      <c r="B895" s="33" t="s">
        <v>61</v>
      </c>
      <c r="C895" s="34">
        <v>1162</v>
      </c>
      <c r="D895" s="36">
        <v>16</v>
      </c>
      <c r="E895" s="33"/>
      <c r="F895" s="33">
        <v>1280</v>
      </c>
      <c r="G895" s="34">
        <v>118</v>
      </c>
      <c r="H895" s="34">
        <v>0</v>
      </c>
      <c r="I895" s="34">
        <v>1280</v>
      </c>
      <c r="J895" s="34">
        <v>175.13</v>
      </c>
      <c r="K895" s="34">
        <v>1455.13</v>
      </c>
      <c r="L895" s="33" t="s">
        <v>14</v>
      </c>
      <c r="M895" s="34">
        <f t="shared" si="121"/>
        <v>80</v>
      </c>
      <c r="N895" s="27">
        <v>16</v>
      </c>
      <c r="O895" s="34">
        <v>0</v>
      </c>
      <c r="P895" s="35">
        <f t="shared" si="118"/>
        <v>0</v>
      </c>
      <c r="Q895" s="34">
        <f t="shared" si="123"/>
        <v>0</v>
      </c>
      <c r="R895" s="35"/>
    </row>
    <row r="896" spans="1:18" x14ac:dyDescent="0.3">
      <c r="A896" s="37" t="s">
        <v>77</v>
      </c>
      <c r="B896" s="33" t="s">
        <v>61</v>
      </c>
      <c r="C896" s="34">
        <v>500.25</v>
      </c>
      <c r="D896" s="33">
        <v>17.22</v>
      </c>
      <c r="E896" s="33"/>
      <c r="F896" s="33">
        <v>551.04</v>
      </c>
      <c r="G896" s="34">
        <v>50.79</v>
      </c>
      <c r="H896" s="34">
        <v>0</v>
      </c>
      <c r="I896" s="34">
        <v>551.04</v>
      </c>
      <c r="J896" s="34">
        <v>74.319999999999993</v>
      </c>
      <c r="K896" s="34">
        <v>625.36</v>
      </c>
      <c r="L896" s="33" t="s">
        <v>14</v>
      </c>
      <c r="M896" s="34" t="e">
        <f t="shared" si="121"/>
        <v>#DIV/0!</v>
      </c>
      <c r="N896" s="27"/>
      <c r="O896" s="34" t="e">
        <f>((N896-80)*M896)*0.5</f>
        <v>#DIV/0!</v>
      </c>
      <c r="P896" s="35" t="e">
        <f t="shared" si="118"/>
        <v>#VALUE!</v>
      </c>
      <c r="Q896" s="34" t="e">
        <f t="shared" si="123"/>
        <v>#DIV/0!</v>
      </c>
      <c r="R896" s="35"/>
    </row>
    <row r="897" spans="1:18" x14ac:dyDescent="0.3">
      <c r="A897" s="37" t="s">
        <v>77</v>
      </c>
      <c r="B897" s="33" t="s">
        <v>61</v>
      </c>
      <c r="C897" s="34">
        <v>700.11</v>
      </c>
      <c r="D897" s="33">
        <v>24.1</v>
      </c>
      <c r="E897" s="33"/>
      <c r="F897" s="33">
        <v>771.2</v>
      </c>
      <c r="G897" s="34">
        <v>71.09</v>
      </c>
      <c r="H897" s="34">
        <v>0</v>
      </c>
      <c r="I897" s="34">
        <v>771.2</v>
      </c>
      <c r="J897" s="34">
        <v>104.01</v>
      </c>
      <c r="K897" s="34">
        <v>875.21</v>
      </c>
      <c r="L897" s="33" t="s">
        <v>14</v>
      </c>
      <c r="M897" s="34" t="e">
        <f t="shared" si="121"/>
        <v>#DIV/0!</v>
      </c>
      <c r="N897" s="27"/>
      <c r="O897" s="34" t="e">
        <f>((N897-80)*M897)*0.5</f>
        <v>#DIV/0!</v>
      </c>
      <c r="P897" s="35" t="e">
        <f t="shared" ref="P897:P910" si="124">ROUND(((ROUNDDOWN(($T$1-A897)/30,0))/100)*O897,2)</f>
        <v>#VALUE!</v>
      </c>
      <c r="Q897" s="34" t="e">
        <f t="shared" si="123"/>
        <v>#DIV/0!</v>
      </c>
      <c r="R897" s="35"/>
    </row>
    <row r="898" spans="1:18" x14ac:dyDescent="0.3">
      <c r="A898" s="32">
        <v>43973</v>
      </c>
      <c r="B898" s="33" t="s">
        <v>61</v>
      </c>
      <c r="C898" s="34">
        <v>1583.23</v>
      </c>
      <c r="D898" s="36">
        <v>56</v>
      </c>
      <c r="E898" s="33"/>
      <c r="F898" s="33">
        <v>1744</v>
      </c>
      <c r="G898" s="34">
        <v>160.77000000000001</v>
      </c>
      <c r="H898" s="34">
        <v>0</v>
      </c>
      <c r="I898" s="34">
        <v>1744</v>
      </c>
      <c r="J898" s="34">
        <v>235.21</v>
      </c>
      <c r="K898" s="34">
        <v>1979.21</v>
      </c>
      <c r="L898" s="33" t="s">
        <v>14</v>
      </c>
      <c r="M898" s="34">
        <f t="shared" si="121"/>
        <v>31.142857142857142</v>
      </c>
      <c r="N898" s="27">
        <v>56</v>
      </c>
      <c r="O898" s="34">
        <v>0</v>
      </c>
      <c r="P898" s="35">
        <f t="shared" si="124"/>
        <v>0</v>
      </c>
      <c r="Q898" s="34">
        <f t="shared" si="123"/>
        <v>0</v>
      </c>
      <c r="R898" s="35"/>
    </row>
    <row r="899" spans="1:18" x14ac:dyDescent="0.3">
      <c r="A899" s="32">
        <v>43987</v>
      </c>
      <c r="B899" s="33" t="s">
        <v>61</v>
      </c>
      <c r="C899" s="34">
        <v>3661.13</v>
      </c>
      <c r="D899" s="33">
        <v>109.5</v>
      </c>
      <c r="E899" s="33"/>
      <c r="F899" s="36">
        <v>4100.25</v>
      </c>
      <c r="G899" s="34">
        <v>633.27</v>
      </c>
      <c r="H899" s="34">
        <v>0</v>
      </c>
      <c r="I899" s="34">
        <v>4294.3999999999996</v>
      </c>
      <c r="J899" s="34">
        <v>518.95000000000005</v>
      </c>
      <c r="K899" s="34">
        <v>4813.3500000000004</v>
      </c>
      <c r="L899" s="33" t="s">
        <v>14</v>
      </c>
      <c r="M899" s="34">
        <f t="shared" si="121"/>
        <v>37.106334841628957</v>
      </c>
      <c r="N899" s="27">
        <v>110.5</v>
      </c>
      <c r="O899" s="34">
        <f>((N899-80)*M899)*0.5</f>
        <v>565.87160633484154</v>
      </c>
      <c r="P899" s="35">
        <f t="shared" si="124"/>
        <v>11.32</v>
      </c>
      <c r="Q899" s="34">
        <f t="shared" si="123"/>
        <v>848.80740950226232</v>
      </c>
      <c r="R899" s="35"/>
    </row>
    <row r="900" spans="1:18" x14ac:dyDescent="0.3">
      <c r="A900" s="32">
        <v>43995</v>
      </c>
      <c r="B900" s="33" t="s">
        <v>61</v>
      </c>
      <c r="C900" s="34"/>
      <c r="D900" s="31">
        <v>87</v>
      </c>
      <c r="E900" s="33"/>
      <c r="F900" s="33"/>
      <c r="G900" s="34"/>
      <c r="H900" s="34"/>
      <c r="I900" s="34"/>
      <c r="J900" s="34"/>
      <c r="K900" s="34"/>
      <c r="L900" s="33"/>
      <c r="M900" s="34"/>
      <c r="N900" s="27"/>
      <c r="O900" s="34"/>
      <c r="P900" s="35">
        <f t="shared" si="124"/>
        <v>0</v>
      </c>
      <c r="Q900" s="34"/>
      <c r="R900" s="35"/>
    </row>
    <row r="901" spans="1:18" x14ac:dyDescent="0.3">
      <c r="A901" s="32">
        <v>44009</v>
      </c>
      <c r="B901" s="33" t="s">
        <v>61</v>
      </c>
      <c r="C901" s="34"/>
      <c r="D901" s="31">
        <v>93</v>
      </c>
      <c r="E901" s="33"/>
      <c r="F901" s="33"/>
      <c r="G901" s="34"/>
      <c r="H901" s="34"/>
      <c r="I901" s="34"/>
      <c r="J901" s="34"/>
      <c r="K901" s="34"/>
      <c r="L901" s="33"/>
      <c r="M901" s="34"/>
      <c r="N901" s="27"/>
      <c r="O901" s="34"/>
      <c r="P901" s="35">
        <f t="shared" si="124"/>
        <v>0</v>
      </c>
      <c r="Q901" s="34"/>
      <c r="R901" s="35"/>
    </row>
    <row r="902" spans="1:18" x14ac:dyDescent="0.3">
      <c r="A902" s="32">
        <v>44023</v>
      </c>
      <c r="B902" s="33" t="s">
        <v>61</v>
      </c>
      <c r="C902" s="34"/>
      <c r="D902" s="31">
        <v>75</v>
      </c>
      <c r="E902" s="33"/>
      <c r="F902" s="33"/>
      <c r="G902" s="34"/>
      <c r="H902" s="34"/>
      <c r="I902" s="34"/>
      <c r="J902" s="34"/>
      <c r="K902" s="34"/>
      <c r="L902" s="33"/>
      <c r="M902" s="34"/>
      <c r="N902" s="27"/>
      <c r="O902" s="34"/>
      <c r="P902" s="35">
        <f t="shared" si="124"/>
        <v>0</v>
      </c>
      <c r="Q902" s="34"/>
      <c r="R902" s="35"/>
    </row>
    <row r="903" spans="1:18" x14ac:dyDescent="0.3">
      <c r="A903" s="32">
        <v>43903</v>
      </c>
      <c r="B903" s="33" t="s">
        <v>62</v>
      </c>
      <c r="C903" s="34">
        <v>720</v>
      </c>
      <c r="D903" s="36">
        <v>40</v>
      </c>
      <c r="E903" s="33"/>
      <c r="F903" s="33">
        <v>720</v>
      </c>
      <c r="G903" s="34">
        <v>73.739999999999995</v>
      </c>
      <c r="H903" s="34">
        <v>0</v>
      </c>
      <c r="I903" s="34">
        <v>793.74</v>
      </c>
      <c r="J903" s="34">
        <v>127.41</v>
      </c>
      <c r="K903" s="34">
        <v>921.15</v>
      </c>
      <c r="L903" s="33">
        <v>100202</v>
      </c>
      <c r="M903" s="34">
        <f t="shared" ref="M903:M909" si="125">(E903+F903)/N903</f>
        <v>18</v>
      </c>
      <c r="N903" s="27">
        <v>40</v>
      </c>
      <c r="O903" s="34">
        <v>0</v>
      </c>
      <c r="P903" s="35">
        <f t="shared" si="124"/>
        <v>0</v>
      </c>
      <c r="Q903" s="34">
        <f t="shared" ref="Q903:Q909" si="126">O903*1.5</f>
        <v>0</v>
      </c>
      <c r="R903" s="35">
        <v>409.55</v>
      </c>
    </row>
    <row r="904" spans="1:18" x14ac:dyDescent="0.3">
      <c r="A904" s="32">
        <v>43917</v>
      </c>
      <c r="B904" s="33" t="s">
        <v>62</v>
      </c>
      <c r="C904" s="34">
        <v>1588.31</v>
      </c>
      <c r="D904" s="36">
        <v>45</v>
      </c>
      <c r="E904" s="33"/>
      <c r="F904" s="36">
        <v>1763</v>
      </c>
      <c r="G904" s="34">
        <v>174.69</v>
      </c>
      <c r="H904" s="34">
        <v>0</v>
      </c>
      <c r="I904" s="34">
        <v>1763</v>
      </c>
      <c r="J904" s="34">
        <v>292.39999999999998</v>
      </c>
      <c r="K904" s="34">
        <v>2055.4</v>
      </c>
      <c r="L904" s="33">
        <v>100205</v>
      </c>
      <c r="M904" s="34">
        <f t="shared" si="125"/>
        <v>20.988095238095237</v>
      </c>
      <c r="N904" s="27">
        <v>84</v>
      </c>
      <c r="O904" s="38">
        <f>(M904*0.5)*5</f>
        <v>52.470238095238095</v>
      </c>
      <c r="P904" s="35">
        <f t="shared" si="124"/>
        <v>2.62</v>
      </c>
      <c r="Q904" s="34">
        <f t="shared" si="126"/>
        <v>78.705357142857139</v>
      </c>
      <c r="R904" s="35"/>
    </row>
    <row r="905" spans="1:18" x14ac:dyDescent="0.3">
      <c r="A905" s="32">
        <v>43931</v>
      </c>
      <c r="B905" s="33" t="s">
        <v>62</v>
      </c>
      <c r="C905" s="34">
        <v>738.36</v>
      </c>
      <c r="D905" s="36">
        <v>24</v>
      </c>
      <c r="E905" s="33"/>
      <c r="F905" s="33">
        <v>890</v>
      </c>
      <c r="G905" s="34">
        <v>81.64</v>
      </c>
      <c r="H905" s="34">
        <v>0</v>
      </c>
      <c r="I905" s="34">
        <v>820</v>
      </c>
      <c r="J905" s="34">
        <v>137.30000000000001</v>
      </c>
      <c r="K905" s="34">
        <v>957.3</v>
      </c>
      <c r="L905" s="33">
        <v>100208</v>
      </c>
      <c r="M905" s="34">
        <f t="shared" si="125"/>
        <v>37.083333333333336</v>
      </c>
      <c r="N905" s="27">
        <v>24</v>
      </c>
      <c r="O905" s="34">
        <v>0</v>
      </c>
      <c r="P905" s="35">
        <f t="shared" si="124"/>
        <v>0</v>
      </c>
      <c r="Q905" s="34">
        <f t="shared" si="126"/>
        <v>0</v>
      </c>
      <c r="R905" s="35"/>
    </row>
    <row r="906" spans="1:18" x14ac:dyDescent="0.3">
      <c r="A906" s="37" t="s">
        <v>77</v>
      </c>
      <c r="B906" s="33" t="s">
        <v>62</v>
      </c>
      <c r="C906" s="34">
        <v>500.23</v>
      </c>
      <c r="D906" s="33">
        <v>27.1</v>
      </c>
      <c r="E906" s="33"/>
      <c r="F906" s="33">
        <v>555.54999999999995</v>
      </c>
      <c r="G906" s="34">
        <v>55.32</v>
      </c>
      <c r="H906" s="34">
        <v>0</v>
      </c>
      <c r="I906" s="34">
        <v>555.54999999999995</v>
      </c>
      <c r="J906" s="34">
        <v>96.05</v>
      </c>
      <c r="K906" s="34">
        <v>651.6</v>
      </c>
      <c r="L906" s="33">
        <v>100211</v>
      </c>
      <c r="M906" s="34" t="e">
        <f t="shared" si="125"/>
        <v>#DIV/0!</v>
      </c>
      <c r="N906" s="27"/>
      <c r="O906" s="34" t="e">
        <f>((N906-80)*M906)*0.5</f>
        <v>#DIV/0!</v>
      </c>
      <c r="P906" s="35" t="e">
        <f t="shared" si="124"/>
        <v>#VALUE!</v>
      </c>
      <c r="Q906" s="34" t="e">
        <f t="shared" si="126"/>
        <v>#DIV/0!</v>
      </c>
      <c r="R906" s="35"/>
    </row>
    <row r="907" spans="1:18" x14ac:dyDescent="0.3">
      <c r="A907" s="37" t="s">
        <v>77</v>
      </c>
      <c r="B907" s="33" t="s">
        <v>62</v>
      </c>
      <c r="C907" s="34">
        <v>700.06</v>
      </c>
      <c r="D907" s="33">
        <v>37.92</v>
      </c>
      <c r="E907" s="33"/>
      <c r="F907" s="33">
        <v>777.46</v>
      </c>
      <c r="G907" s="34">
        <v>77.400000000000006</v>
      </c>
      <c r="H907" s="34">
        <v>0</v>
      </c>
      <c r="I907" s="34">
        <v>777.46</v>
      </c>
      <c r="J907" s="34">
        <v>134.38999999999999</v>
      </c>
      <c r="K907" s="34">
        <v>911.85</v>
      </c>
      <c r="L907" s="33">
        <v>100215</v>
      </c>
      <c r="M907" s="34" t="e">
        <f t="shared" si="125"/>
        <v>#DIV/0!</v>
      </c>
      <c r="N907" s="27"/>
      <c r="O907" s="34" t="e">
        <f>((N907-80)*M907)*0.5</f>
        <v>#DIV/0!</v>
      </c>
      <c r="P907" s="35" t="e">
        <f t="shared" si="124"/>
        <v>#VALUE!</v>
      </c>
      <c r="Q907" s="34" t="e">
        <f t="shared" si="126"/>
        <v>#DIV/0!</v>
      </c>
      <c r="R907" s="35"/>
    </row>
    <row r="908" spans="1:18" x14ac:dyDescent="0.3">
      <c r="A908" s="37" t="s">
        <v>77</v>
      </c>
      <c r="B908" s="33" t="s">
        <v>62</v>
      </c>
      <c r="C908" s="34">
        <v>300</v>
      </c>
      <c r="D908" s="33">
        <v>16.25</v>
      </c>
      <c r="E908" s="33"/>
      <c r="F908" s="33">
        <v>333.17</v>
      </c>
      <c r="G908" s="34">
        <v>33.17</v>
      </c>
      <c r="H908" s="34">
        <v>0</v>
      </c>
      <c r="I908" s="34">
        <v>333.17</v>
      </c>
      <c r="J908" s="34">
        <v>57.61</v>
      </c>
      <c r="K908" s="34">
        <v>390.78</v>
      </c>
      <c r="L908" s="33">
        <v>100218</v>
      </c>
      <c r="M908" s="34" t="e">
        <f t="shared" si="125"/>
        <v>#DIV/0!</v>
      </c>
      <c r="N908" s="27"/>
      <c r="O908" s="34" t="e">
        <f>((N908-80)*M908)*0.5</f>
        <v>#DIV/0!</v>
      </c>
      <c r="P908" s="35" t="e">
        <f t="shared" si="124"/>
        <v>#VALUE!</v>
      </c>
      <c r="Q908" s="34" t="e">
        <f t="shared" si="126"/>
        <v>#DIV/0!</v>
      </c>
      <c r="R908" s="35"/>
    </row>
    <row r="909" spans="1:18" x14ac:dyDescent="0.3">
      <c r="A909" s="32">
        <v>43987</v>
      </c>
      <c r="B909" s="33" t="s">
        <v>62</v>
      </c>
      <c r="C909" s="34">
        <v>886.03</v>
      </c>
      <c r="D909" s="36">
        <v>48</v>
      </c>
      <c r="E909" s="33"/>
      <c r="F909" s="33">
        <v>984</v>
      </c>
      <c r="G909" s="34">
        <v>97.97</v>
      </c>
      <c r="H909" s="34">
        <v>0</v>
      </c>
      <c r="I909" s="34">
        <v>984</v>
      </c>
      <c r="J909" s="34">
        <v>170.11</v>
      </c>
      <c r="K909" s="34">
        <v>1154.1099999999999</v>
      </c>
      <c r="L909" s="33">
        <v>100221</v>
      </c>
      <c r="M909" s="34">
        <f t="shared" si="125"/>
        <v>20.5</v>
      </c>
      <c r="N909" s="27">
        <v>48</v>
      </c>
      <c r="O909" s="34">
        <v>0</v>
      </c>
      <c r="P909" s="35">
        <f t="shared" si="124"/>
        <v>0</v>
      </c>
      <c r="Q909" s="34">
        <f t="shared" si="126"/>
        <v>0</v>
      </c>
      <c r="R909" s="35"/>
    </row>
    <row r="910" spans="1:18" x14ac:dyDescent="0.3">
      <c r="A910" s="32">
        <v>44009</v>
      </c>
      <c r="B910" s="33" t="s">
        <v>62</v>
      </c>
      <c r="C910" s="33"/>
      <c r="D910" s="31">
        <v>89</v>
      </c>
      <c r="E910" s="33"/>
      <c r="F910" s="33"/>
      <c r="G910" s="33"/>
      <c r="H910" s="34"/>
      <c r="I910" s="33"/>
      <c r="J910" s="33"/>
      <c r="K910" s="33"/>
      <c r="L910" s="33"/>
      <c r="M910" s="33"/>
      <c r="N910" s="27"/>
      <c r="O910" s="34">
        <f>((N910-80)*M910)*0.5</f>
        <v>0</v>
      </c>
      <c r="P910" s="35">
        <f t="shared" si="124"/>
        <v>0</v>
      </c>
      <c r="Q910" s="34">
        <v>0</v>
      </c>
      <c r="R910" s="35">
        <f>SUM(R16:R909)</f>
        <v>18429.749999999985</v>
      </c>
    </row>
    <row r="911" spans="1:18" x14ac:dyDescent="0.3">
      <c r="A911" s="32">
        <v>44023</v>
      </c>
      <c r="B911" s="33" t="s">
        <v>62</v>
      </c>
      <c r="C911" s="33"/>
      <c r="D911" s="31">
        <v>106.5</v>
      </c>
      <c r="E911" s="33"/>
      <c r="F911" s="33"/>
      <c r="G911" s="33"/>
      <c r="H911" s="33"/>
      <c r="I911" s="33"/>
      <c r="J911" s="33"/>
      <c r="K911" s="33"/>
      <c r="L911" s="33"/>
      <c r="M911" s="33"/>
      <c r="N911" s="27"/>
      <c r="O911" s="35">
        <v>0</v>
      </c>
      <c r="P911" s="33"/>
      <c r="Q911" s="33"/>
      <c r="R911" s="33"/>
    </row>
    <row r="912" spans="1:18" x14ac:dyDescent="0.3">
      <c r="A912" s="32"/>
      <c r="B912" s="33"/>
      <c r="C912" s="33"/>
      <c r="D912" s="33"/>
      <c r="E912" s="33"/>
      <c r="F912" s="33"/>
      <c r="G912" s="33"/>
      <c r="H912" s="33"/>
      <c r="I912" s="33"/>
      <c r="J912" s="33"/>
      <c r="K912" s="33"/>
      <c r="L912" s="33"/>
      <c r="M912" s="33"/>
      <c r="N912" s="27"/>
      <c r="O912" s="35" t="e">
        <f>SUBTOTAL(9,O14:O911)</f>
        <v>#DIV/0!</v>
      </c>
      <c r="P912" s="35" t="e">
        <f>SUBTOTAL(9,P14:P911)</f>
        <v>#VALUE!</v>
      </c>
      <c r="Q912" s="35" t="e">
        <f>SUBTOTAL(9,Q14:Q911)</f>
        <v>#DIV/0!</v>
      </c>
      <c r="R912" s="33"/>
    </row>
    <row r="913" spans="1:18" x14ac:dyDescent="0.3">
      <c r="A913" s="32"/>
      <c r="B913" s="33"/>
      <c r="C913" s="33"/>
      <c r="D913" s="33"/>
      <c r="E913" s="33"/>
      <c r="F913" s="33"/>
      <c r="G913" s="33"/>
      <c r="H913" s="33"/>
      <c r="I913" s="33"/>
      <c r="J913" s="33"/>
      <c r="K913" s="33"/>
      <c r="L913" s="33"/>
      <c r="M913" s="33"/>
      <c r="N913" s="27"/>
      <c r="O913" s="33"/>
      <c r="P913" s="33"/>
      <c r="Q913" s="33"/>
      <c r="R913" s="33"/>
    </row>
    <row r="914" spans="1:18" x14ac:dyDescent="0.3">
      <c r="A914" s="32"/>
      <c r="B914" s="33"/>
      <c r="C914" s="33"/>
      <c r="D914" s="33"/>
      <c r="E914" s="33"/>
      <c r="F914" s="33"/>
      <c r="G914" s="33"/>
      <c r="H914" s="33"/>
      <c r="I914" s="33"/>
      <c r="J914" s="33"/>
      <c r="K914" s="33"/>
      <c r="L914" s="33"/>
      <c r="M914" s="33"/>
      <c r="N914" s="27"/>
      <c r="O914" s="33"/>
      <c r="P914" s="33"/>
      <c r="Q914" s="33"/>
      <c r="R914" s="33"/>
    </row>
    <row r="915" spans="1:18" x14ac:dyDescent="0.3">
      <c r="A915" s="32"/>
      <c r="B915" s="33"/>
      <c r="C915" s="33"/>
      <c r="D915" s="33"/>
      <c r="E915" s="33"/>
      <c r="F915" s="33"/>
      <c r="G915" s="33"/>
      <c r="H915" s="33"/>
      <c r="I915" s="33"/>
      <c r="J915" s="33"/>
      <c r="K915" s="33"/>
      <c r="L915" s="33"/>
      <c r="M915" s="33"/>
      <c r="N915" s="27"/>
      <c r="O915" s="33"/>
      <c r="P915" s="33"/>
      <c r="Q915" s="33"/>
      <c r="R915" s="33"/>
    </row>
    <row r="916" spans="1:18" x14ac:dyDescent="0.3">
      <c r="A916" s="32"/>
      <c r="B916" s="33"/>
      <c r="C916" s="33"/>
      <c r="D916" s="33"/>
      <c r="E916" s="33"/>
      <c r="F916" s="33"/>
      <c r="G916" s="33"/>
      <c r="H916" s="33"/>
      <c r="I916" s="33"/>
      <c r="J916" s="33"/>
      <c r="K916" s="33"/>
      <c r="L916" s="33"/>
      <c r="M916" s="33"/>
      <c r="N916" s="27"/>
      <c r="O916" s="33"/>
      <c r="P916" s="33"/>
      <c r="Q916" s="33"/>
      <c r="R916" s="33"/>
    </row>
    <row r="917" spans="1:18" x14ac:dyDescent="0.3">
      <c r="A917" s="32"/>
      <c r="B917" s="33"/>
      <c r="C917" s="33"/>
      <c r="D917" s="33"/>
      <c r="E917" s="33"/>
      <c r="F917" s="33"/>
      <c r="G917" s="33"/>
      <c r="H917" s="33"/>
      <c r="I917" s="33"/>
      <c r="J917" s="33"/>
      <c r="K917" s="33"/>
      <c r="L917" s="33"/>
      <c r="M917" s="33"/>
      <c r="N917" s="27"/>
      <c r="O917" s="33"/>
      <c r="P917" s="33"/>
      <c r="Q917" s="33"/>
      <c r="R917" s="33"/>
    </row>
    <row r="918" spans="1:18" x14ac:dyDescent="0.3">
      <c r="A918" s="32"/>
      <c r="B918" s="33"/>
      <c r="C918" s="33"/>
      <c r="D918" s="33"/>
      <c r="E918" s="33"/>
      <c r="F918" s="33"/>
      <c r="G918" s="33"/>
      <c r="H918" s="33"/>
      <c r="I918" s="33"/>
      <c r="J918" s="33"/>
      <c r="K918" s="33"/>
      <c r="L918" s="33"/>
      <c r="M918" s="33"/>
      <c r="N918" s="27"/>
      <c r="O918" s="33"/>
      <c r="P918" s="33"/>
      <c r="Q918" s="33"/>
      <c r="R918" s="33"/>
    </row>
    <row r="919" spans="1:18" x14ac:dyDescent="0.3">
      <c r="A919" s="32"/>
      <c r="B919" s="33"/>
      <c r="C919" s="33"/>
      <c r="D919" s="33"/>
      <c r="E919" s="33"/>
      <c r="F919" s="33"/>
      <c r="G919" s="33"/>
      <c r="H919" s="33"/>
      <c r="I919" s="33"/>
      <c r="J919" s="33"/>
      <c r="K919" s="33"/>
      <c r="L919" s="33"/>
      <c r="M919" s="33"/>
      <c r="N919" s="27"/>
      <c r="O919" s="33"/>
      <c r="P919" s="33"/>
      <c r="Q919" s="33"/>
      <c r="R919" s="33"/>
    </row>
    <row r="920" spans="1:18" x14ac:dyDescent="0.3">
      <c r="A920" s="32"/>
      <c r="B920" s="33"/>
      <c r="C920" s="33"/>
      <c r="D920" s="33"/>
      <c r="E920" s="33"/>
      <c r="F920" s="33"/>
      <c r="G920" s="33"/>
      <c r="H920" s="33"/>
      <c r="I920" s="33"/>
      <c r="J920" s="33"/>
      <c r="K920" s="33"/>
      <c r="L920" s="33"/>
      <c r="M920" s="33"/>
      <c r="N920" s="27"/>
      <c r="O920" s="33"/>
      <c r="P920" s="33"/>
      <c r="Q920" s="33"/>
      <c r="R920" s="33"/>
    </row>
    <row r="921" spans="1:18" x14ac:dyDescent="0.3">
      <c r="A921" s="32"/>
      <c r="B921" s="33"/>
      <c r="C921" s="33"/>
      <c r="D921" s="33"/>
      <c r="E921" s="33"/>
      <c r="F921" s="33"/>
      <c r="G921" s="33"/>
      <c r="H921" s="33"/>
      <c r="I921" s="33"/>
      <c r="J921" s="33"/>
      <c r="K921" s="33"/>
      <c r="L921" s="33"/>
      <c r="M921" s="33"/>
      <c r="N921" s="27"/>
      <c r="O921" s="33"/>
      <c r="P921" s="33"/>
      <c r="Q921" s="33"/>
      <c r="R921" s="33"/>
    </row>
    <row r="922" spans="1:18" x14ac:dyDescent="0.3">
      <c r="A922" s="32"/>
      <c r="B922" s="33"/>
      <c r="C922" s="33"/>
      <c r="D922" s="33"/>
      <c r="E922" s="33"/>
      <c r="F922" s="33"/>
      <c r="G922" s="33"/>
      <c r="H922" s="33"/>
      <c r="I922" s="33"/>
      <c r="J922" s="33"/>
      <c r="K922" s="33"/>
      <c r="L922" s="33"/>
      <c r="M922" s="33"/>
      <c r="N922" s="27"/>
      <c r="O922" s="33"/>
      <c r="P922" s="33"/>
      <c r="Q922" s="33"/>
      <c r="R922" s="33"/>
    </row>
    <row r="923" spans="1:18" x14ac:dyDescent="0.3">
      <c r="A923" s="32"/>
      <c r="B923" s="33"/>
      <c r="C923" s="33"/>
      <c r="D923" s="33"/>
      <c r="E923" s="33"/>
      <c r="F923" s="33"/>
      <c r="G923" s="33"/>
      <c r="H923" s="33"/>
      <c r="I923" s="33"/>
      <c r="J923" s="33"/>
      <c r="K923" s="33"/>
      <c r="L923" s="33"/>
      <c r="M923" s="33"/>
      <c r="N923" s="27"/>
      <c r="O923" s="33"/>
      <c r="P923" s="33"/>
      <c r="Q923" s="33"/>
      <c r="R923" s="33"/>
    </row>
    <row r="924" spans="1:18" x14ac:dyDescent="0.3">
      <c r="A924" s="32"/>
      <c r="B924" s="33"/>
      <c r="C924" s="33"/>
      <c r="D924" s="33"/>
      <c r="E924" s="33"/>
      <c r="F924" s="33"/>
      <c r="G924" s="33"/>
      <c r="H924" s="33"/>
      <c r="I924" s="33"/>
      <c r="J924" s="33"/>
      <c r="K924" s="33"/>
      <c r="L924" s="33"/>
      <c r="M924" s="33"/>
      <c r="N924" s="27"/>
      <c r="O924" s="33"/>
      <c r="P924" s="33"/>
      <c r="Q924" s="33"/>
      <c r="R924" s="33"/>
    </row>
    <row r="925" spans="1:18" x14ac:dyDescent="0.3">
      <c r="A925" s="32"/>
      <c r="B925" s="33"/>
      <c r="C925" s="33"/>
      <c r="D925" s="33"/>
      <c r="E925" s="33"/>
      <c r="F925" s="33"/>
      <c r="G925" s="33"/>
      <c r="H925" s="33"/>
      <c r="I925" s="33"/>
      <c r="J925" s="33"/>
      <c r="K925" s="33"/>
      <c r="L925" s="33"/>
      <c r="M925" s="33"/>
      <c r="N925" s="27"/>
      <c r="O925" s="33"/>
      <c r="P925" s="33"/>
      <c r="Q925" s="33"/>
      <c r="R925" s="33"/>
    </row>
    <row r="926" spans="1:18" x14ac:dyDescent="0.3">
      <c r="A926" s="32"/>
      <c r="B926" s="33"/>
      <c r="C926" s="33"/>
      <c r="D926" s="33"/>
      <c r="E926" s="33"/>
      <c r="F926" s="33"/>
      <c r="G926" s="33"/>
      <c r="H926" s="33"/>
      <c r="I926" s="33"/>
      <c r="J926" s="33"/>
      <c r="K926" s="33"/>
      <c r="L926" s="33"/>
      <c r="M926" s="33"/>
      <c r="N926" s="27"/>
      <c r="O926" s="33"/>
      <c r="P926" s="33"/>
      <c r="Q926" s="33"/>
      <c r="R926" s="33"/>
    </row>
    <row r="927" spans="1:18" x14ac:dyDescent="0.3">
      <c r="A927" s="32"/>
      <c r="B927" s="33"/>
      <c r="C927" s="33"/>
      <c r="D927" s="33"/>
      <c r="E927" s="33"/>
      <c r="F927" s="33"/>
      <c r="G927" s="33"/>
      <c r="H927" s="33"/>
      <c r="I927" s="33"/>
      <c r="J927" s="33"/>
      <c r="K927" s="33"/>
      <c r="L927" s="33"/>
      <c r="M927" s="33"/>
      <c r="N927" s="27"/>
      <c r="O927" s="33"/>
      <c r="P927" s="33"/>
      <c r="Q927" s="33"/>
      <c r="R927" s="33"/>
    </row>
    <row r="928" spans="1:18" x14ac:dyDescent="0.3">
      <c r="A928" s="32"/>
      <c r="B928" s="33"/>
      <c r="C928" s="33"/>
      <c r="D928" s="33"/>
      <c r="E928" s="33"/>
      <c r="F928" s="33"/>
      <c r="G928" s="33"/>
      <c r="H928" s="33"/>
      <c r="I928" s="33"/>
      <c r="J928" s="33"/>
      <c r="K928" s="33"/>
      <c r="L928" s="33"/>
      <c r="M928" s="33"/>
      <c r="N928" s="27"/>
      <c r="O928" s="33"/>
      <c r="P928" s="33"/>
      <c r="Q928" s="33"/>
      <c r="R928" s="33"/>
    </row>
    <row r="929" spans="1:18" x14ac:dyDescent="0.3">
      <c r="A929" s="32"/>
      <c r="B929" s="33"/>
      <c r="C929" s="33"/>
      <c r="D929" s="33"/>
      <c r="E929" s="33"/>
      <c r="F929" s="33"/>
      <c r="G929" s="33"/>
      <c r="H929" s="33"/>
      <c r="I929" s="33"/>
      <c r="J929" s="33"/>
      <c r="K929" s="33"/>
      <c r="L929" s="33"/>
      <c r="M929" s="33"/>
      <c r="N929" s="27"/>
      <c r="O929" s="33"/>
      <c r="P929" s="33"/>
      <c r="Q929" s="33"/>
      <c r="R929" s="33"/>
    </row>
    <row r="930" spans="1:18" x14ac:dyDescent="0.3">
      <c r="A930" s="32"/>
      <c r="B930" s="33"/>
      <c r="C930" s="33"/>
      <c r="D930" s="33"/>
      <c r="E930" s="33"/>
      <c r="F930" s="33"/>
      <c r="G930" s="33"/>
      <c r="H930" s="33"/>
      <c r="I930" s="33"/>
      <c r="J930" s="33"/>
      <c r="K930" s="33"/>
      <c r="L930" s="33"/>
      <c r="M930" s="33"/>
      <c r="N930" s="27"/>
      <c r="O930" s="33"/>
      <c r="P930" s="33"/>
      <c r="Q930" s="33"/>
      <c r="R930" s="33"/>
    </row>
    <row r="931" spans="1:18" x14ac:dyDescent="0.3">
      <c r="A931" s="32"/>
      <c r="B931" s="33"/>
      <c r="C931" s="33"/>
      <c r="D931" s="33"/>
      <c r="E931" s="33"/>
      <c r="F931" s="33"/>
      <c r="G931" s="33"/>
      <c r="H931" s="33"/>
      <c r="I931" s="33"/>
      <c r="J931" s="33"/>
      <c r="K931" s="33"/>
      <c r="L931" s="33"/>
      <c r="M931" s="33"/>
      <c r="N931" s="27"/>
      <c r="O931" s="33"/>
      <c r="P931" s="33"/>
      <c r="Q931" s="33"/>
      <c r="R931" s="33"/>
    </row>
    <row r="932" spans="1:18" x14ac:dyDescent="0.3">
      <c r="A932" s="32"/>
      <c r="B932" s="33"/>
      <c r="C932" s="33"/>
      <c r="D932" s="33"/>
      <c r="E932" s="33"/>
      <c r="F932" s="33"/>
      <c r="G932" s="33"/>
      <c r="H932" s="33"/>
      <c r="I932" s="33"/>
      <c r="J932" s="33"/>
      <c r="K932" s="33"/>
      <c r="L932" s="33"/>
      <c r="M932" s="33"/>
      <c r="N932" s="27"/>
      <c r="O932" s="33"/>
      <c r="P932" s="33"/>
      <c r="Q932" s="33"/>
      <c r="R932" s="33"/>
    </row>
    <row r="933" spans="1:18" x14ac:dyDescent="0.3">
      <c r="A933" s="32"/>
      <c r="B933" s="33"/>
      <c r="C933" s="33"/>
      <c r="D933" s="33"/>
      <c r="E933" s="33"/>
      <c r="F933" s="33"/>
      <c r="G933" s="33"/>
      <c r="H933" s="33"/>
      <c r="I933" s="33"/>
      <c r="J933" s="33"/>
      <c r="K933" s="33"/>
      <c r="L933" s="33"/>
      <c r="M933" s="33"/>
      <c r="N933" s="27"/>
      <c r="O933" s="33"/>
      <c r="P933" s="33"/>
      <c r="Q933" s="33"/>
      <c r="R933" s="33"/>
    </row>
    <row r="934" spans="1:18" x14ac:dyDescent="0.3">
      <c r="A934" s="32"/>
      <c r="B934" s="33"/>
      <c r="C934" s="33"/>
      <c r="D934" s="33"/>
      <c r="E934" s="33"/>
      <c r="F934" s="33"/>
      <c r="G934" s="33"/>
      <c r="H934" s="33"/>
      <c r="I934" s="33"/>
      <c r="J934" s="33"/>
      <c r="K934" s="33"/>
      <c r="L934" s="33"/>
      <c r="M934" s="33"/>
      <c r="N934" s="27"/>
      <c r="O934" s="33"/>
      <c r="P934" s="33"/>
      <c r="Q934" s="33"/>
      <c r="R934" s="33"/>
    </row>
    <row r="935" spans="1:18" x14ac:dyDescent="0.3">
      <c r="A935" s="32"/>
      <c r="B935" s="33"/>
      <c r="C935" s="33"/>
      <c r="D935" s="33"/>
      <c r="E935" s="33"/>
      <c r="F935" s="33"/>
      <c r="G935" s="33"/>
      <c r="H935" s="33"/>
      <c r="I935" s="33"/>
      <c r="J935" s="33"/>
      <c r="K935" s="33"/>
      <c r="L935" s="33"/>
      <c r="M935" s="33"/>
      <c r="N935" s="27"/>
      <c r="O935" s="33"/>
      <c r="P935" s="33"/>
      <c r="Q935" s="33"/>
      <c r="R935" s="33"/>
    </row>
    <row r="936" spans="1:18" x14ac:dyDescent="0.3">
      <c r="A936" s="32"/>
      <c r="B936" s="33"/>
      <c r="C936" s="33"/>
      <c r="D936" s="33"/>
      <c r="E936" s="33"/>
      <c r="F936" s="33"/>
      <c r="G936" s="33"/>
      <c r="H936" s="33"/>
      <c r="I936" s="33"/>
      <c r="J936" s="33"/>
      <c r="K936" s="33"/>
      <c r="L936" s="33"/>
      <c r="M936" s="33"/>
      <c r="N936" s="27"/>
      <c r="O936" s="33"/>
      <c r="P936" s="33"/>
      <c r="Q936" s="33"/>
      <c r="R936" s="33"/>
    </row>
    <row r="937" spans="1:18" x14ac:dyDescent="0.3">
      <c r="A937" s="32"/>
      <c r="B937" s="33"/>
      <c r="C937" s="33"/>
      <c r="D937" s="33"/>
      <c r="E937" s="33"/>
      <c r="F937" s="33"/>
      <c r="G937" s="33"/>
      <c r="H937" s="33"/>
      <c r="I937" s="33"/>
      <c r="J937" s="33"/>
      <c r="K937" s="33"/>
      <c r="L937" s="33"/>
      <c r="M937" s="33"/>
      <c r="N937" s="27"/>
      <c r="O937" s="33"/>
      <c r="P937" s="33"/>
      <c r="Q937" s="33"/>
      <c r="R937" s="33"/>
    </row>
    <row r="938" spans="1:18" x14ac:dyDescent="0.3">
      <c r="A938" s="32"/>
      <c r="B938" s="33"/>
      <c r="C938" s="33"/>
      <c r="D938" s="33"/>
      <c r="E938" s="33"/>
      <c r="F938" s="33"/>
      <c r="G938" s="33"/>
      <c r="H938" s="33"/>
      <c r="I938" s="33"/>
      <c r="J938" s="33"/>
      <c r="K938" s="33"/>
      <c r="L938" s="33"/>
      <c r="M938" s="33"/>
      <c r="N938" s="27"/>
      <c r="O938" s="33"/>
      <c r="P938" s="33"/>
      <c r="Q938" s="33"/>
      <c r="R938" s="33"/>
    </row>
    <row r="939" spans="1:18" x14ac:dyDescent="0.3">
      <c r="A939" s="32"/>
      <c r="B939" s="33"/>
      <c r="C939" s="33"/>
      <c r="D939" s="33"/>
      <c r="E939" s="33"/>
      <c r="F939" s="33"/>
      <c r="G939" s="33"/>
      <c r="H939" s="33"/>
      <c r="I939" s="33"/>
      <c r="J939" s="33"/>
      <c r="K939" s="33"/>
      <c r="L939" s="33"/>
      <c r="M939" s="33"/>
      <c r="N939" s="27"/>
      <c r="O939" s="33"/>
      <c r="P939" s="33"/>
      <c r="Q939" s="33"/>
      <c r="R939" s="33"/>
    </row>
    <row r="940" spans="1:18" x14ac:dyDescent="0.3">
      <c r="A940" s="32"/>
      <c r="B940" s="33"/>
      <c r="C940" s="33"/>
      <c r="D940" s="33"/>
      <c r="E940" s="33"/>
      <c r="F940" s="33"/>
      <c r="G940" s="33"/>
      <c r="H940" s="33"/>
      <c r="I940" s="33"/>
      <c r="J940" s="33"/>
      <c r="K940" s="33"/>
      <c r="L940" s="33"/>
      <c r="M940" s="33"/>
      <c r="N940" s="27"/>
      <c r="O940" s="33"/>
      <c r="P940" s="33"/>
      <c r="Q940" s="33"/>
      <c r="R940" s="33"/>
    </row>
    <row r="941" spans="1:18" x14ac:dyDescent="0.3">
      <c r="A941" s="32"/>
      <c r="B941" s="33"/>
      <c r="C941" s="33"/>
      <c r="D941" s="33"/>
      <c r="E941" s="33"/>
      <c r="F941" s="33"/>
      <c r="G941" s="33"/>
      <c r="H941" s="33"/>
      <c r="I941" s="33"/>
      <c r="J941" s="33"/>
      <c r="K941" s="33"/>
      <c r="L941" s="33"/>
      <c r="M941" s="33"/>
      <c r="N941" s="27"/>
      <c r="O941" s="33"/>
      <c r="P941" s="33"/>
      <c r="Q941" s="33"/>
      <c r="R941" s="33"/>
    </row>
    <row r="942" spans="1:18" x14ac:dyDescent="0.3">
      <c r="A942" s="32"/>
      <c r="B942" s="33"/>
      <c r="C942" s="33"/>
      <c r="D942" s="33"/>
      <c r="E942" s="33"/>
      <c r="F942" s="33"/>
      <c r="G942" s="33"/>
      <c r="H942" s="33"/>
      <c r="I942" s="33"/>
      <c r="J942" s="33"/>
      <c r="K942" s="33"/>
      <c r="L942" s="33"/>
      <c r="M942" s="33"/>
      <c r="N942" s="27"/>
      <c r="O942" s="33"/>
      <c r="P942" s="33"/>
      <c r="Q942" s="33"/>
      <c r="R942" s="33"/>
    </row>
    <row r="943" spans="1:18" x14ac:dyDescent="0.3">
      <c r="A943" s="32"/>
      <c r="B943" s="33"/>
      <c r="C943" s="33"/>
      <c r="D943" s="33"/>
      <c r="E943" s="33"/>
      <c r="F943" s="33"/>
      <c r="G943" s="33"/>
      <c r="H943" s="33"/>
      <c r="I943" s="33"/>
      <c r="J943" s="33"/>
      <c r="K943" s="33"/>
      <c r="L943" s="33"/>
      <c r="M943" s="33"/>
      <c r="N943" s="27"/>
      <c r="O943" s="33"/>
      <c r="P943" s="33"/>
      <c r="Q943" s="33"/>
      <c r="R943" s="33"/>
    </row>
    <row r="944" spans="1:18" x14ac:dyDescent="0.3">
      <c r="A944" s="32"/>
      <c r="B944" s="33"/>
      <c r="C944" s="33"/>
      <c r="D944" s="33"/>
      <c r="E944" s="33"/>
      <c r="F944" s="33"/>
      <c r="G944" s="33"/>
      <c r="H944" s="33"/>
      <c r="I944" s="33"/>
      <c r="J944" s="33"/>
      <c r="K944" s="33"/>
      <c r="L944" s="33"/>
      <c r="M944" s="33"/>
      <c r="N944" s="27"/>
      <c r="O944" s="33"/>
      <c r="P944" s="33"/>
      <c r="Q944" s="33"/>
      <c r="R944" s="33"/>
    </row>
    <row r="945" spans="1:18" x14ac:dyDescent="0.3">
      <c r="A945" s="32"/>
      <c r="B945" s="33"/>
      <c r="C945" s="33"/>
      <c r="D945" s="33"/>
      <c r="E945" s="33"/>
      <c r="F945" s="33"/>
      <c r="G945" s="33"/>
      <c r="H945" s="33"/>
      <c r="I945" s="33"/>
      <c r="J945" s="33"/>
      <c r="K945" s="33"/>
      <c r="L945" s="33"/>
      <c r="M945" s="33"/>
      <c r="N945" s="27"/>
      <c r="O945" s="33"/>
      <c r="P945" s="33"/>
      <c r="Q945" s="33"/>
      <c r="R945" s="33"/>
    </row>
    <row r="946" spans="1:18" x14ac:dyDescent="0.3">
      <c r="A946" s="32"/>
      <c r="B946" s="33"/>
      <c r="C946" s="33"/>
      <c r="D946" s="33"/>
      <c r="E946" s="33"/>
      <c r="F946" s="33"/>
      <c r="G946" s="33"/>
      <c r="H946" s="33"/>
      <c r="I946" s="33"/>
      <c r="J946" s="33"/>
      <c r="K946" s="33"/>
      <c r="L946" s="33"/>
      <c r="M946" s="33"/>
      <c r="N946" s="27"/>
      <c r="O946" s="33"/>
      <c r="P946" s="33"/>
      <c r="Q946" s="33"/>
      <c r="R946" s="33"/>
    </row>
    <row r="947" spans="1:18" x14ac:dyDescent="0.3">
      <c r="A947" s="32"/>
      <c r="B947" s="33"/>
      <c r="C947" s="33"/>
      <c r="D947" s="33"/>
      <c r="E947" s="33"/>
      <c r="F947" s="33"/>
      <c r="G947" s="33"/>
      <c r="H947" s="33"/>
      <c r="I947" s="33"/>
      <c r="J947" s="33"/>
      <c r="K947" s="33"/>
      <c r="L947" s="33"/>
      <c r="M947" s="33"/>
      <c r="N947" s="27"/>
      <c r="O947" s="33"/>
      <c r="P947" s="33"/>
      <c r="Q947" s="33"/>
      <c r="R947" s="33"/>
    </row>
    <row r="948" spans="1:18" x14ac:dyDescent="0.3">
      <c r="A948" s="32"/>
      <c r="B948" s="33"/>
      <c r="C948" s="33"/>
      <c r="D948" s="33"/>
      <c r="E948" s="33"/>
      <c r="F948" s="33"/>
      <c r="G948" s="33"/>
      <c r="H948" s="33"/>
      <c r="I948" s="33"/>
      <c r="J948" s="33"/>
      <c r="K948" s="33"/>
      <c r="L948" s="33"/>
      <c r="M948" s="33"/>
      <c r="N948" s="27"/>
      <c r="O948" s="33"/>
      <c r="P948" s="33"/>
      <c r="Q948" s="33"/>
      <c r="R948" s="33"/>
    </row>
    <row r="949" spans="1:18" x14ac:dyDescent="0.3">
      <c r="A949" s="32"/>
      <c r="B949" s="33"/>
      <c r="C949" s="33"/>
      <c r="D949" s="33"/>
      <c r="E949" s="33"/>
      <c r="F949" s="33"/>
      <c r="G949" s="33"/>
      <c r="H949" s="33"/>
      <c r="I949" s="33"/>
      <c r="J949" s="33"/>
      <c r="K949" s="33"/>
      <c r="L949" s="33"/>
      <c r="M949" s="33"/>
      <c r="N949" s="27"/>
      <c r="O949" s="33"/>
      <c r="P949" s="33"/>
      <c r="Q949" s="33"/>
      <c r="R949" s="33"/>
    </row>
    <row r="950" spans="1:18" x14ac:dyDescent="0.3">
      <c r="A950" s="32"/>
      <c r="B950" s="33"/>
      <c r="C950" s="33"/>
      <c r="D950" s="33"/>
      <c r="E950" s="33"/>
      <c r="F950" s="33"/>
      <c r="G950" s="33"/>
      <c r="H950" s="33"/>
      <c r="I950" s="33"/>
      <c r="J950" s="33"/>
      <c r="K950" s="33"/>
      <c r="L950" s="33"/>
      <c r="M950" s="33"/>
      <c r="N950" s="27"/>
      <c r="O950" s="33"/>
      <c r="P950" s="33"/>
      <c r="Q950" s="33"/>
      <c r="R950" s="33"/>
    </row>
    <row r="951" spans="1:18" x14ac:dyDescent="0.3">
      <c r="A951" s="32"/>
      <c r="B951" s="33"/>
      <c r="C951" s="33"/>
      <c r="D951" s="33"/>
      <c r="E951" s="33"/>
      <c r="F951" s="33"/>
      <c r="G951" s="33"/>
      <c r="H951" s="33"/>
      <c r="I951" s="33"/>
      <c r="J951" s="33"/>
      <c r="K951" s="33"/>
      <c r="L951" s="33"/>
      <c r="M951" s="33"/>
      <c r="N951" s="27"/>
      <c r="O951" s="33"/>
      <c r="P951" s="33"/>
      <c r="Q951" s="33"/>
      <c r="R951" s="33"/>
    </row>
    <row r="952" spans="1:18" x14ac:dyDescent="0.3">
      <c r="A952" s="32"/>
      <c r="B952" s="33"/>
      <c r="C952" s="33"/>
      <c r="D952" s="33"/>
      <c r="E952" s="33"/>
      <c r="F952" s="33"/>
      <c r="G952" s="33"/>
      <c r="H952" s="33"/>
      <c r="I952" s="33"/>
      <c r="J952" s="33"/>
      <c r="K952" s="33"/>
      <c r="L952" s="33"/>
      <c r="M952" s="33"/>
      <c r="N952" s="27"/>
      <c r="O952" s="33"/>
      <c r="P952" s="33"/>
      <c r="Q952" s="33"/>
      <c r="R952" s="33"/>
    </row>
    <row r="953" spans="1:18" x14ac:dyDescent="0.3">
      <c r="A953" s="32"/>
      <c r="B953" s="33"/>
      <c r="C953" s="33"/>
      <c r="D953" s="33"/>
      <c r="E953" s="33"/>
      <c r="F953" s="33"/>
      <c r="G953" s="33"/>
      <c r="H953" s="33"/>
      <c r="I953" s="33"/>
      <c r="J953" s="33"/>
      <c r="K953" s="33"/>
      <c r="L953" s="33"/>
      <c r="M953" s="33"/>
      <c r="N953" s="27"/>
      <c r="O953" s="33"/>
      <c r="P953" s="33"/>
      <c r="Q953" s="33"/>
      <c r="R953" s="33"/>
    </row>
    <row r="954" spans="1:18" x14ac:dyDescent="0.3">
      <c r="A954" s="32"/>
      <c r="B954" s="33"/>
      <c r="C954" s="33"/>
      <c r="D954" s="33"/>
      <c r="E954" s="33"/>
      <c r="F954" s="33"/>
      <c r="G954" s="33"/>
      <c r="H954" s="33"/>
      <c r="I954" s="33"/>
      <c r="J954" s="33"/>
      <c r="K954" s="33"/>
      <c r="L954" s="33"/>
      <c r="M954" s="33"/>
      <c r="N954" s="27"/>
      <c r="O954" s="33"/>
      <c r="P954" s="33"/>
      <c r="Q954" s="33"/>
      <c r="R954" s="33"/>
    </row>
    <row r="955" spans="1:18" x14ac:dyDescent="0.3">
      <c r="A955" s="32"/>
      <c r="B955" s="33"/>
      <c r="C955" s="33"/>
      <c r="D955" s="33"/>
      <c r="E955" s="33"/>
      <c r="F955" s="33"/>
      <c r="G955" s="33"/>
      <c r="H955" s="33"/>
      <c r="I955" s="33"/>
      <c r="J955" s="33"/>
      <c r="K955" s="33"/>
      <c r="L955" s="33"/>
      <c r="M955" s="33"/>
      <c r="N955" s="27"/>
      <c r="O955" s="33"/>
      <c r="P955" s="33"/>
      <c r="Q955" s="33"/>
      <c r="R955" s="33"/>
    </row>
    <row r="956" spans="1:18" x14ac:dyDescent="0.3">
      <c r="A956" s="32"/>
      <c r="B956" s="33"/>
      <c r="C956" s="33"/>
      <c r="D956" s="33"/>
      <c r="E956" s="33"/>
      <c r="F956" s="33"/>
      <c r="G956" s="33"/>
      <c r="H956" s="33"/>
      <c r="I956" s="33"/>
      <c r="J956" s="33"/>
      <c r="K956" s="33"/>
      <c r="L956" s="33"/>
      <c r="M956" s="33"/>
      <c r="N956" s="27"/>
      <c r="O956" s="33"/>
      <c r="P956" s="33"/>
      <c r="Q956" s="33"/>
      <c r="R956" s="33"/>
    </row>
    <row r="957" spans="1:18" x14ac:dyDescent="0.3">
      <c r="A957" s="32"/>
      <c r="B957" s="33"/>
      <c r="C957" s="33"/>
      <c r="D957" s="33"/>
      <c r="E957" s="33"/>
      <c r="F957" s="33"/>
      <c r="G957" s="33"/>
      <c r="H957" s="33"/>
      <c r="I957" s="33"/>
      <c r="J957" s="33"/>
      <c r="K957" s="33"/>
      <c r="L957" s="33"/>
      <c r="M957" s="33"/>
      <c r="N957" s="27"/>
      <c r="O957" s="33"/>
      <c r="P957" s="33"/>
      <c r="Q957" s="33"/>
      <c r="R957" s="33"/>
    </row>
    <row r="958" spans="1:18" x14ac:dyDescent="0.3">
      <c r="A958" s="32"/>
      <c r="B958" s="33"/>
      <c r="C958" s="33"/>
      <c r="D958" s="33"/>
      <c r="E958" s="33"/>
      <c r="F958" s="33"/>
      <c r="G958" s="33"/>
      <c r="H958" s="33"/>
      <c r="I958" s="33"/>
      <c r="J958" s="33"/>
      <c r="K958" s="33"/>
      <c r="L958" s="33"/>
      <c r="M958" s="33"/>
      <c r="N958" s="27"/>
      <c r="O958" s="33"/>
      <c r="P958" s="33"/>
      <c r="Q958" s="33"/>
      <c r="R958" s="33"/>
    </row>
    <row r="959" spans="1:18" x14ac:dyDescent="0.3">
      <c r="A959" s="32"/>
      <c r="B959" s="33"/>
      <c r="C959" s="33"/>
      <c r="D959" s="33"/>
      <c r="E959" s="33"/>
      <c r="F959" s="33"/>
      <c r="G959" s="33"/>
      <c r="H959" s="33"/>
      <c r="I959" s="33"/>
      <c r="J959" s="33"/>
      <c r="K959" s="33"/>
      <c r="L959" s="33"/>
      <c r="M959" s="33"/>
      <c r="N959" s="27"/>
      <c r="O959" s="33"/>
      <c r="P959" s="33"/>
      <c r="Q959" s="33"/>
      <c r="R959" s="33"/>
    </row>
    <row r="960" spans="1:18" x14ac:dyDescent="0.3">
      <c r="A960" s="32"/>
      <c r="B960" s="33"/>
      <c r="C960" s="33"/>
      <c r="D960" s="33"/>
      <c r="E960" s="33"/>
      <c r="F960" s="33"/>
      <c r="G960" s="33"/>
      <c r="H960" s="33"/>
      <c r="I960" s="33"/>
      <c r="J960" s="33"/>
      <c r="K960" s="33"/>
      <c r="L960" s="33"/>
      <c r="M960" s="33"/>
      <c r="N960" s="27"/>
      <c r="O960" s="33"/>
      <c r="P960" s="33"/>
      <c r="Q960" s="33"/>
      <c r="R960" s="33"/>
    </row>
    <row r="961" spans="1:18" x14ac:dyDescent="0.3">
      <c r="A961" s="32"/>
      <c r="B961" s="33"/>
      <c r="C961" s="33"/>
      <c r="D961" s="33"/>
      <c r="E961" s="33"/>
      <c r="F961" s="33"/>
      <c r="G961" s="33"/>
      <c r="H961" s="33"/>
      <c r="I961" s="33"/>
      <c r="J961" s="33"/>
      <c r="K961" s="33"/>
      <c r="L961" s="33"/>
      <c r="M961" s="33"/>
      <c r="N961" s="27"/>
      <c r="O961" s="33"/>
      <c r="P961" s="33"/>
      <c r="Q961" s="33"/>
      <c r="R961" s="33"/>
    </row>
    <row r="962" spans="1:18" x14ac:dyDescent="0.3">
      <c r="A962" s="32"/>
      <c r="B962" s="33"/>
      <c r="C962" s="33"/>
      <c r="D962" s="33"/>
      <c r="E962" s="33"/>
      <c r="F962" s="33"/>
      <c r="G962" s="33"/>
      <c r="H962" s="33"/>
      <c r="I962" s="33"/>
      <c r="J962" s="33"/>
      <c r="K962" s="33"/>
      <c r="L962" s="33"/>
      <c r="M962" s="33"/>
      <c r="N962" s="27"/>
      <c r="O962" s="33"/>
      <c r="P962" s="33"/>
      <c r="Q962" s="33"/>
      <c r="R962" s="33"/>
    </row>
    <row r="963" spans="1:18" x14ac:dyDescent="0.3">
      <c r="A963" s="32"/>
      <c r="B963" s="33"/>
      <c r="C963" s="33"/>
      <c r="D963" s="33"/>
      <c r="E963" s="33"/>
      <c r="F963" s="33"/>
      <c r="G963" s="33"/>
      <c r="H963" s="33"/>
      <c r="I963" s="33"/>
      <c r="J963" s="33"/>
      <c r="K963" s="33"/>
      <c r="L963" s="33"/>
      <c r="M963" s="33"/>
      <c r="N963" s="27"/>
      <c r="O963" s="33"/>
      <c r="P963" s="33"/>
      <c r="Q963" s="33"/>
      <c r="R963" s="33"/>
    </row>
    <row r="964" spans="1:18" x14ac:dyDescent="0.3">
      <c r="A964" s="32"/>
      <c r="B964" s="33"/>
      <c r="C964" s="33"/>
      <c r="D964" s="33"/>
      <c r="E964" s="33"/>
      <c r="F964" s="33"/>
      <c r="G964" s="33"/>
      <c r="H964" s="33"/>
      <c r="I964" s="33"/>
      <c r="J964" s="33"/>
      <c r="K964" s="33"/>
      <c r="L964" s="33"/>
      <c r="M964" s="33"/>
      <c r="N964" s="27"/>
      <c r="O964" s="33"/>
      <c r="P964" s="33"/>
      <c r="Q964" s="33"/>
      <c r="R964" s="33"/>
    </row>
    <row r="965" spans="1:18" x14ac:dyDescent="0.3">
      <c r="A965" s="32"/>
      <c r="B965" s="33"/>
      <c r="C965" s="33"/>
      <c r="D965" s="33"/>
      <c r="E965" s="33"/>
      <c r="F965" s="33"/>
      <c r="G965" s="33"/>
      <c r="H965" s="33"/>
      <c r="I965" s="33"/>
      <c r="J965" s="33"/>
      <c r="K965" s="33"/>
      <c r="L965" s="33"/>
      <c r="M965" s="33"/>
      <c r="N965" s="27"/>
      <c r="O965" s="33"/>
      <c r="P965" s="33"/>
      <c r="Q965" s="33"/>
      <c r="R965" s="33"/>
    </row>
    <row r="966" spans="1:18" x14ac:dyDescent="0.3">
      <c r="A966" s="32"/>
      <c r="B966" s="33"/>
      <c r="C966" s="33"/>
      <c r="D966" s="33"/>
      <c r="E966" s="33"/>
      <c r="F966" s="33"/>
      <c r="G966" s="33"/>
      <c r="H966" s="33"/>
      <c r="I966" s="33"/>
      <c r="J966" s="33"/>
      <c r="K966" s="33"/>
      <c r="L966" s="33"/>
      <c r="M966" s="33"/>
      <c r="N966" s="27"/>
      <c r="O966" s="33"/>
      <c r="P966" s="33"/>
      <c r="Q966" s="33"/>
      <c r="R966" s="33"/>
    </row>
    <row r="967" spans="1:18" x14ac:dyDescent="0.3">
      <c r="A967" s="32"/>
      <c r="B967" s="33"/>
      <c r="C967" s="33"/>
      <c r="D967" s="33"/>
      <c r="E967" s="33"/>
      <c r="F967" s="33"/>
      <c r="G967" s="33"/>
      <c r="H967" s="33"/>
      <c r="I967" s="33"/>
      <c r="J967" s="33"/>
      <c r="K967" s="33"/>
      <c r="L967" s="33"/>
      <c r="M967" s="33"/>
      <c r="N967" s="27"/>
      <c r="O967" s="33"/>
      <c r="P967" s="33"/>
      <c r="Q967" s="33"/>
      <c r="R967" s="33"/>
    </row>
    <row r="968" spans="1:18" x14ac:dyDescent="0.3">
      <c r="A968" s="32"/>
      <c r="B968" s="33"/>
      <c r="C968" s="33"/>
      <c r="D968" s="33"/>
      <c r="E968" s="33"/>
      <c r="F968" s="33"/>
      <c r="G968" s="33"/>
      <c r="H968" s="33"/>
      <c r="I968" s="33"/>
      <c r="J968" s="33"/>
      <c r="K968" s="33"/>
      <c r="L968" s="33"/>
      <c r="M968" s="33"/>
      <c r="N968" s="27"/>
      <c r="O968" s="33"/>
      <c r="P968" s="33"/>
      <c r="Q968" s="33"/>
      <c r="R968" s="33"/>
    </row>
    <row r="969" spans="1:18" x14ac:dyDescent="0.3">
      <c r="A969" s="32"/>
      <c r="B969" s="33"/>
      <c r="C969" s="33"/>
      <c r="D969" s="33"/>
      <c r="E969" s="33"/>
      <c r="F969" s="33"/>
      <c r="G969" s="33"/>
      <c r="H969" s="33"/>
      <c r="I969" s="33"/>
      <c r="J969" s="33"/>
      <c r="K969" s="33"/>
      <c r="L969" s="33"/>
      <c r="M969" s="33"/>
      <c r="N969" s="27"/>
      <c r="O969" s="33"/>
      <c r="P969" s="33"/>
      <c r="Q969" s="33"/>
      <c r="R969" s="33"/>
    </row>
    <row r="970" spans="1:18" x14ac:dyDescent="0.3">
      <c r="A970" s="32"/>
      <c r="B970" s="33"/>
      <c r="C970" s="33"/>
      <c r="D970" s="33"/>
      <c r="E970" s="33"/>
      <c r="F970" s="33"/>
      <c r="G970" s="33"/>
      <c r="H970" s="33"/>
      <c r="I970" s="33"/>
      <c r="J970" s="33"/>
      <c r="K970" s="33"/>
      <c r="L970" s="33"/>
      <c r="M970" s="33"/>
      <c r="N970" s="27"/>
      <c r="O970" s="33"/>
      <c r="P970" s="33"/>
      <c r="Q970" s="33"/>
      <c r="R970" s="33"/>
    </row>
    <row r="971" spans="1:18" x14ac:dyDescent="0.3">
      <c r="A971" s="32"/>
      <c r="B971" s="33"/>
      <c r="C971" s="33"/>
      <c r="D971" s="33"/>
      <c r="E971" s="33"/>
      <c r="F971" s="33"/>
      <c r="G971" s="33"/>
      <c r="H971" s="33"/>
      <c r="I971" s="33"/>
      <c r="J971" s="33"/>
      <c r="K971" s="33"/>
      <c r="L971" s="33"/>
      <c r="M971" s="33"/>
      <c r="N971" s="27"/>
      <c r="O971" s="33"/>
      <c r="P971" s="33"/>
      <c r="Q971" s="33"/>
      <c r="R971" s="33"/>
    </row>
    <row r="972" spans="1:18" x14ac:dyDescent="0.3">
      <c r="A972" s="32"/>
      <c r="B972" s="33"/>
      <c r="C972" s="33"/>
      <c r="D972" s="33"/>
      <c r="E972" s="33"/>
      <c r="F972" s="33"/>
      <c r="G972" s="33"/>
      <c r="H972" s="33"/>
      <c r="I972" s="33"/>
      <c r="J972" s="33"/>
      <c r="K972" s="33"/>
      <c r="L972" s="33"/>
      <c r="M972" s="33"/>
      <c r="N972" s="27"/>
      <c r="O972" s="33"/>
      <c r="P972" s="33"/>
      <c r="Q972" s="33"/>
      <c r="R972" s="33"/>
    </row>
    <row r="973" spans="1:18" x14ac:dyDescent="0.3">
      <c r="A973" s="32"/>
      <c r="B973" s="33"/>
      <c r="C973" s="33"/>
      <c r="D973" s="33"/>
      <c r="E973" s="33"/>
      <c r="F973" s="33"/>
      <c r="G973" s="33"/>
      <c r="H973" s="33"/>
      <c r="I973" s="33"/>
      <c r="J973" s="33"/>
      <c r="K973" s="33"/>
      <c r="L973" s="33"/>
      <c r="M973" s="33"/>
      <c r="N973" s="27"/>
      <c r="O973" s="33"/>
      <c r="P973" s="33"/>
      <c r="Q973" s="33"/>
      <c r="R973" s="33"/>
    </row>
    <row r="974" spans="1:18" x14ac:dyDescent="0.3">
      <c r="A974" s="32"/>
      <c r="B974" s="33"/>
      <c r="C974" s="33"/>
      <c r="D974" s="33"/>
      <c r="E974" s="33"/>
      <c r="F974" s="33"/>
      <c r="G974" s="33"/>
      <c r="H974" s="33"/>
      <c r="I974" s="33"/>
      <c r="J974" s="33"/>
      <c r="K974" s="33"/>
      <c r="L974" s="33"/>
      <c r="M974" s="33"/>
      <c r="N974" s="27"/>
      <c r="O974" s="33"/>
      <c r="P974" s="33"/>
      <c r="Q974" s="33"/>
      <c r="R974" s="33"/>
    </row>
    <row r="975" spans="1:18" x14ac:dyDescent="0.3">
      <c r="A975" s="32"/>
      <c r="B975" s="33"/>
      <c r="C975" s="33"/>
      <c r="D975" s="33"/>
      <c r="E975" s="33"/>
      <c r="F975" s="33"/>
      <c r="G975" s="33"/>
      <c r="H975" s="33"/>
      <c r="I975" s="33"/>
      <c r="J975" s="33"/>
      <c r="K975" s="33"/>
      <c r="L975" s="33"/>
      <c r="M975" s="33"/>
      <c r="N975" s="27"/>
      <c r="O975" s="33"/>
      <c r="P975" s="33"/>
      <c r="Q975" s="33"/>
      <c r="R975" s="33"/>
    </row>
    <row r="976" spans="1:18" x14ac:dyDescent="0.3">
      <c r="A976" s="32"/>
      <c r="B976" s="33"/>
      <c r="C976" s="33"/>
      <c r="D976" s="33"/>
      <c r="E976" s="33"/>
      <c r="F976" s="33"/>
      <c r="G976" s="33"/>
      <c r="H976" s="33"/>
      <c r="I976" s="33"/>
      <c r="J976" s="33"/>
      <c r="K976" s="33"/>
      <c r="L976" s="33"/>
      <c r="M976" s="33"/>
      <c r="N976" s="27"/>
      <c r="O976" s="33"/>
      <c r="P976" s="33"/>
      <c r="Q976" s="33"/>
      <c r="R976" s="33"/>
    </row>
    <row r="977" spans="1:18" x14ac:dyDescent="0.3">
      <c r="A977" s="32"/>
      <c r="B977" s="33"/>
      <c r="C977" s="33"/>
      <c r="D977" s="33"/>
      <c r="E977" s="33"/>
      <c r="F977" s="33"/>
      <c r="G977" s="33"/>
      <c r="H977" s="33"/>
      <c r="I977" s="33"/>
      <c r="J977" s="33"/>
      <c r="K977" s="33"/>
      <c r="L977" s="33"/>
      <c r="M977" s="33"/>
      <c r="N977" s="27"/>
      <c r="O977" s="33"/>
      <c r="P977" s="33"/>
      <c r="Q977" s="33"/>
      <c r="R977" s="33"/>
    </row>
    <row r="978" spans="1:18" x14ac:dyDescent="0.3">
      <c r="A978" s="32"/>
      <c r="B978" s="33"/>
      <c r="C978" s="33"/>
      <c r="D978" s="33"/>
      <c r="E978" s="33"/>
      <c r="F978" s="33"/>
      <c r="G978" s="33"/>
      <c r="H978" s="33"/>
      <c r="I978" s="33"/>
      <c r="J978" s="33"/>
      <c r="K978" s="33"/>
      <c r="L978" s="33"/>
      <c r="M978" s="33"/>
      <c r="N978" s="27"/>
      <c r="O978" s="33"/>
      <c r="P978" s="33"/>
      <c r="Q978" s="33"/>
      <c r="R978" s="33"/>
    </row>
    <row r="979" spans="1:18" x14ac:dyDescent="0.3">
      <c r="A979" s="32"/>
      <c r="B979" s="33"/>
      <c r="C979" s="33"/>
      <c r="D979" s="33"/>
      <c r="E979" s="33"/>
      <c r="F979" s="33"/>
      <c r="G979" s="33"/>
      <c r="H979" s="33"/>
      <c r="I979" s="33"/>
      <c r="J979" s="33"/>
      <c r="K979" s="33"/>
      <c r="L979" s="33"/>
      <c r="M979" s="33"/>
      <c r="N979" s="27"/>
      <c r="O979" s="33"/>
      <c r="P979" s="33"/>
      <c r="Q979" s="33"/>
      <c r="R979" s="33"/>
    </row>
    <row r="980" spans="1:18" x14ac:dyDescent="0.3">
      <c r="A980" s="32"/>
      <c r="B980" s="33"/>
      <c r="C980" s="33"/>
      <c r="D980" s="33"/>
      <c r="E980" s="33"/>
      <c r="F980" s="33"/>
      <c r="G980" s="33"/>
      <c r="H980" s="33"/>
      <c r="I980" s="33"/>
      <c r="J980" s="33"/>
      <c r="K980" s="33"/>
      <c r="L980" s="33"/>
      <c r="M980" s="33"/>
      <c r="N980" s="27"/>
      <c r="O980" s="33"/>
      <c r="P980" s="33"/>
      <c r="Q980" s="33"/>
      <c r="R980" s="33"/>
    </row>
    <row r="981" spans="1:18" x14ac:dyDescent="0.3">
      <c r="A981" s="32"/>
      <c r="B981" s="33"/>
      <c r="C981" s="33"/>
      <c r="D981" s="33"/>
      <c r="E981" s="33"/>
      <c r="F981" s="33"/>
      <c r="G981" s="33"/>
      <c r="H981" s="33"/>
      <c r="I981" s="33"/>
      <c r="J981" s="33"/>
      <c r="K981" s="33"/>
      <c r="L981" s="33"/>
      <c r="M981" s="33"/>
      <c r="N981" s="27"/>
      <c r="O981" s="33"/>
      <c r="P981" s="33"/>
      <c r="Q981" s="33"/>
      <c r="R981" s="33"/>
    </row>
    <row r="982" spans="1:18" x14ac:dyDescent="0.3">
      <c r="A982" s="32"/>
      <c r="B982" s="33"/>
      <c r="C982" s="33"/>
      <c r="D982" s="33"/>
      <c r="E982" s="33"/>
      <c r="F982" s="33"/>
      <c r="G982" s="33"/>
      <c r="H982" s="33"/>
      <c r="I982" s="33"/>
      <c r="J982" s="33"/>
      <c r="K982" s="33"/>
      <c r="L982" s="33"/>
      <c r="M982" s="33"/>
      <c r="N982" s="27"/>
      <c r="O982" s="33"/>
      <c r="P982" s="33"/>
      <c r="Q982" s="33"/>
      <c r="R982" s="33"/>
    </row>
    <row r="983" spans="1:18" x14ac:dyDescent="0.3">
      <c r="A983" s="32"/>
      <c r="B983" s="33"/>
      <c r="C983" s="33"/>
      <c r="D983" s="33"/>
      <c r="E983" s="33"/>
      <c r="F983" s="33"/>
      <c r="G983" s="33"/>
      <c r="H983" s="33"/>
      <c r="I983" s="33"/>
      <c r="J983" s="33"/>
      <c r="K983" s="33"/>
      <c r="L983" s="33"/>
      <c r="M983" s="33"/>
      <c r="N983" s="27"/>
      <c r="O983" s="33"/>
      <c r="P983" s="33"/>
      <c r="Q983" s="33"/>
      <c r="R983" s="33"/>
    </row>
    <row r="984" spans="1:18" x14ac:dyDescent="0.3">
      <c r="A984" s="32"/>
      <c r="B984" s="33"/>
      <c r="C984" s="33"/>
      <c r="D984" s="33"/>
      <c r="E984" s="33"/>
      <c r="F984" s="33"/>
      <c r="G984" s="33"/>
      <c r="H984" s="33"/>
      <c r="I984" s="33"/>
      <c r="J984" s="33"/>
      <c r="K984" s="33"/>
      <c r="L984" s="33"/>
      <c r="M984" s="33"/>
      <c r="N984" s="27"/>
      <c r="O984" s="33"/>
      <c r="P984" s="33"/>
      <c r="Q984" s="33"/>
      <c r="R984" s="33"/>
    </row>
    <row r="985" spans="1:18" x14ac:dyDescent="0.3">
      <c r="A985" s="32"/>
      <c r="B985" s="33"/>
      <c r="C985" s="33"/>
      <c r="D985" s="33"/>
      <c r="E985" s="33"/>
      <c r="F985" s="33"/>
      <c r="G985" s="33"/>
      <c r="H985" s="33"/>
      <c r="I985" s="33"/>
      <c r="J985" s="33"/>
      <c r="K985" s="33"/>
      <c r="L985" s="33"/>
      <c r="M985" s="33"/>
      <c r="N985" s="27"/>
      <c r="O985" s="33"/>
      <c r="P985" s="33"/>
      <c r="Q985" s="33"/>
      <c r="R985" s="33"/>
    </row>
    <row r="986" spans="1:18" x14ac:dyDescent="0.3">
      <c r="A986" s="32"/>
      <c r="B986" s="33"/>
      <c r="C986" s="33"/>
      <c r="D986" s="33"/>
      <c r="E986" s="33"/>
      <c r="F986" s="33"/>
      <c r="G986" s="33"/>
      <c r="H986" s="33"/>
      <c r="I986" s="33"/>
      <c r="J986" s="33"/>
      <c r="K986" s="33"/>
      <c r="L986" s="33"/>
      <c r="M986" s="33"/>
      <c r="N986" s="27"/>
      <c r="O986" s="33"/>
      <c r="P986" s="33"/>
      <c r="Q986" s="33"/>
      <c r="R986" s="33"/>
    </row>
    <row r="987" spans="1:18" x14ac:dyDescent="0.3">
      <c r="A987" s="32"/>
      <c r="B987" s="33"/>
      <c r="C987" s="33"/>
      <c r="D987" s="33"/>
      <c r="E987" s="33"/>
      <c r="F987" s="33"/>
      <c r="G987" s="33"/>
      <c r="H987" s="33"/>
      <c r="I987" s="33"/>
      <c r="J987" s="33"/>
      <c r="K987" s="33"/>
      <c r="L987" s="33"/>
      <c r="M987" s="33"/>
      <c r="N987" s="27"/>
      <c r="O987" s="33"/>
      <c r="P987" s="33"/>
      <c r="Q987" s="33"/>
      <c r="R987" s="33"/>
    </row>
    <row r="988" spans="1:18" x14ac:dyDescent="0.3">
      <c r="A988" s="32"/>
      <c r="B988" s="33"/>
      <c r="C988" s="33"/>
      <c r="D988" s="33"/>
      <c r="E988" s="33"/>
      <c r="F988" s="33"/>
      <c r="G988" s="33"/>
      <c r="H988" s="33"/>
      <c r="I988" s="33"/>
      <c r="J988" s="33"/>
      <c r="K988" s="33"/>
      <c r="L988" s="33"/>
      <c r="M988" s="33"/>
      <c r="N988" s="27"/>
      <c r="O988" s="33"/>
      <c r="P988" s="33"/>
      <c r="Q988" s="33"/>
      <c r="R988" s="33"/>
    </row>
    <row r="989" spans="1:18" x14ac:dyDescent="0.3">
      <c r="A989" s="32"/>
      <c r="B989" s="33"/>
      <c r="C989" s="33"/>
      <c r="D989" s="33"/>
      <c r="E989" s="33"/>
      <c r="F989" s="33"/>
      <c r="G989" s="33"/>
      <c r="H989" s="33"/>
      <c r="I989" s="33"/>
      <c r="J989" s="33"/>
      <c r="K989" s="33"/>
      <c r="L989" s="33"/>
      <c r="M989" s="33"/>
      <c r="N989" s="27"/>
      <c r="O989" s="33"/>
      <c r="P989" s="33"/>
      <c r="Q989" s="33"/>
      <c r="R989" s="33"/>
    </row>
    <row r="990" spans="1:18" x14ac:dyDescent="0.3">
      <c r="A990" s="32"/>
      <c r="B990" s="33"/>
      <c r="C990" s="33"/>
      <c r="D990" s="33"/>
      <c r="E990" s="33"/>
      <c r="F990" s="33"/>
      <c r="G990" s="33"/>
      <c r="H990" s="33"/>
      <c r="I990" s="33"/>
      <c r="J990" s="33"/>
      <c r="K990" s="33"/>
      <c r="L990" s="33"/>
      <c r="M990" s="33"/>
      <c r="N990" s="27"/>
      <c r="O990" s="33"/>
      <c r="P990" s="33"/>
      <c r="Q990" s="33"/>
      <c r="R990" s="33"/>
    </row>
    <row r="991" spans="1:18" x14ac:dyDescent="0.3">
      <c r="A991" s="32"/>
      <c r="B991" s="33"/>
      <c r="C991" s="33"/>
      <c r="D991" s="33"/>
      <c r="E991" s="33"/>
      <c r="F991" s="33"/>
      <c r="G991" s="33"/>
      <c r="H991" s="33"/>
      <c r="I991" s="33"/>
      <c r="J991" s="33"/>
      <c r="K991" s="33"/>
      <c r="L991" s="33"/>
      <c r="M991" s="33"/>
      <c r="N991" s="27"/>
      <c r="O991" s="33"/>
      <c r="P991" s="33"/>
      <c r="Q991" s="33"/>
      <c r="R991" s="33"/>
    </row>
    <row r="992" spans="1:18" x14ac:dyDescent="0.3">
      <c r="A992" s="32"/>
      <c r="B992" s="33"/>
      <c r="C992" s="33"/>
      <c r="D992" s="33"/>
      <c r="E992" s="33"/>
      <c r="F992" s="33"/>
      <c r="G992" s="33"/>
      <c r="H992" s="33"/>
      <c r="I992" s="33"/>
      <c r="J992" s="33"/>
      <c r="K992" s="33"/>
      <c r="L992" s="33"/>
      <c r="M992" s="33"/>
      <c r="N992" s="27"/>
      <c r="O992" s="33"/>
      <c r="P992" s="33"/>
      <c r="Q992" s="33"/>
      <c r="R992" s="33"/>
    </row>
    <row r="993" spans="1:18" x14ac:dyDescent="0.3">
      <c r="A993" s="32"/>
      <c r="B993" s="33"/>
      <c r="C993" s="33"/>
      <c r="D993" s="33"/>
      <c r="E993" s="33"/>
      <c r="F993" s="33"/>
      <c r="G993" s="33"/>
      <c r="H993" s="33"/>
      <c r="I993" s="33"/>
      <c r="J993" s="33"/>
      <c r="K993" s="33"/>
      <c r="L993" s="33"/>
      <c r="M993" s="33"/>
      <c r="N993" s="27"/>
      <c r="O993" s="33"/>
      <c r="P993" s="33"/>
      <c r="Q993" s="33"/>
      <c r="R993" s="33"/>
    </row>
    <row r="994" spans="1:18" x14ac:dyDescent="0.3">
      <c r="A994" s="32"/>
      <c r="B994" s="33"/>
      <c r="C994" s="33"/>
      <c r="D994" s="33"/>
      <c r="E994" s="33"/>
      <c r="F994" s="33"/>
      <c r="G994" s="33"/>
      <c r="H994" s="33"/>
      <c r="I994" s="33"/>
      <c r="J994" s="33"/>
      <c r="K994" s="33"/>
      <c r="L994" s="33"/>
      <c r="M994" s="33"/>
      <c r="N994" s="27"/>
      <c r="O994" s="33"/>
      <c r="P994" s="33"/>
      <c r="Q994" s="33"/>
      <c r="R994" s="33"/>
    </row>
    <row r="995" spans="1:18" x14ac:dyDescent="0.3">
      <c r="A995" s="32"/>
      <c r="B995" s="33"/>
      <c r="C995" s="33"/>
      <c r="D995" s="33"/>
      <c r="E995" s="33"/>
      <c r="F995" s="33"/>
      <c r="G995" s="33"/>
      <c r="H995" s="33"/>
      <c r="I995" s="33"/>
      <c r="J995" s="33"/>
      <c r="K995" s="33"/>
      <c r="L995" s="33"/>
      <c r="M995" s="33"/>
      <c r="N995" s="27"/>
      <c r="O995" s="33"/>
      <c r="P995" s="33"/>
      <c r="Q995" s="33"/>
      <c r="R995" s="33"/>
    </row>
    <row r="996" spans="1:18" x14ac:dyDescent="0.3">
      <c r="A996" s="32"/>
      <c r="B996" s="33"/>
      <c r="C996" s="33"/>
      <c r="D996" s="33"/>
      <c r="E996" s="33"/>
      <c r="F996" s="33"/>
      <c r="G996" s="33"/>
      <c r="H996" s="33"/>
      <c r="I996" s="33"/>
      <c r="J996" s="33"/>
      <c r="K996" s="33"/>
      <c r="L996" s="33"/>
      <c r="M996" s="33"/>
      <c r="N996" s="27"/>
      <c r="O996" s="33"/>
      <c r="P996" s="33"/>
      <c r="Q996" s="33"/>
      <c r="R996" s="33"/>
    </row>
    <row r="997" spans="1:18" x14ac:dyDescent="0.3">
      <c r="A997" s="32"/>
      <c r="B997" s="33"/>
      <c r="C997" s="33"/>
      <c r="D997" s="33"/>
      <c r="E997" s="33"/>
      <c r="F997" s="33"/>
      <c r="G997" s="33"/>
      <c r="H997" s="33"/>
      <c r="I997" s="33"/>
      <c r="J997" s="33"/>
      <c r="K997" s="33"/>
      <c r="L997" s="33"/>
      <c r="M997" s="33"/>
      <c r="N997" s="27"/>
      <c r="O997" s="33"/>
      <c r="P997" s="33"/>
      <c r="Q997" s="33"/>
      <c r="R997" s="33"/>
    </row>
    <row r="998" spans="1:18" x14ac:dyDescent="0.3">
      <c r="A998" s="32"/>
      <c r="B998" s="33"/>
      <c r="C998" s="33"/>
      <c r="D998" s="33"/>
      <c r="E998" s="33"/>
      <c r="F998" s="33"/>
      <c r="G998" s="33"/>
      <c r="H998" s="33"/>
      <c r="I998" s="33"/>
      <c r="J998" s="33"/>
      <c r="K998" s="33"/>
      <c r="L998" s="33"/>
      <c r="M998" s="33"/>
      <c r="N998" s="27"/>
      <c r="O998" s="33"/>
      <c r="P998" s="33"/>
      <c r="Q998" s="33"/>
      <c r="R998" s="33"/>
    </row>
    <row r="999" spans="1:18" x14ac:dyDescent="0.3">
      <c r="A999" s="32"/>
      <c r="B999" s="33"/>
      <c r="C999" s="33"/>
      <c r="D999" s="33"/>
      <c r="E999" s="33"/>
      <c r="F999" s="33"/>
      <c r="G999" s="33"/>
      <c r="H999" s="33"/>
      <c r="I999" s="33"/>
      <c r="J999" s="33"/>
      <c r="K999" s="33"/>
      <c r="L999" s="33"/>
      <c r="M999" s="33"/>
      <c r="N999" s="27"/>
      <c r="O999" s="33"/>
      <c r="P999" s="33"/>
      <c r="Q999" s="33"/>
      <c r="R999" s="33"/>
    </row>
    <row r="1000" spans="1:18" x14ac:dyDescent="0.3">
      <c r="A1000" s="32"/>
      <c r="B1000" s="33"/>
      <c r="C1000" s="33"/>
      <c r="D1000" s="33"/>
      <c r="E1000" s="33"/>
      <c r="F1000" s="33"/>
      <c r="G1000" s="33"/>
      <c r="H1000" s="33"/>
      <c r="I1000" s="33"/>
      <c r="J1000" s="33"/>
      <c r="K1000" s="33"/>
      <c r="L1000" s="33"/>
      <c r="M1000" s="33"/>
      <c r="N1000" s="27"/>
      <c r="O1000" s="33"/>
      <c r="P1000" s="33"/>
      <c r="Q1000" s="33"/>
      <c r="R1000" s="33"/>
    </row>
    <row r="1001" spans="1:18" x14ac:dyDescent="0.3">
      <c r="A1001" s="32"/>
      <c r="B1001" s="33"/>
      <c r="C1001" s="33"/>
      <c r="D1001" s="33"/>
      <c r="E1001" s="33"/>
      <c r="F1001" s="33"/>
      <c r="G1001" s="33"/>
      <c r="H1001" s="33"/>
      <c r="I1001" s="33"/>
      <c r="J1001" s="33"/>
      <c r="K1001" s="33"/>
      <c r="L1001" s="33"/>
      <c r="M1001" s="33"/>
      <c r="N1001" s="27"/>
      <c r="O1001" s="33"/>
      <c r="P1001" s="33"/>
      <c r="Q1001" s="33"/>
      <c r="R1001" s="33"/>
    </row>
    <row r="1002" spans="1:18" x14ac:dyDescent="0.3">
      <c r="A1002" s="32"/>
      <c r="B1002" s="33"/>
      <c r="C1002" s="33"/>
      <c r="D1002" s="33"/>
      <c r="E1002" s="33"/>
      <c r="F1002" s="33"/>
      <c r="G1002" s="33"/>
      <c r="H1002" s="33"/>
      <c r="I1002" s="33"/>
      <c r="J1002" s="33"/>
      <c r="K1002" s="33"/>
      <c r="L1002" s="33"/>
      <c r="M1002" s="33"/>
      <c r="N1002" s="27"/>
      <c r="O1002" s="33"/>
      <c r="P1002" s="33"/>
      <c r="Q1002" s="33"/>
      <c r="R1002" s="33"/>
    </row>
    <row r="1003" spans="1:18" x14ac:dyDescent="0.3">
      <c r="A1003" s="32"/>
      <c r="B1003" s="33"/>
      <c r="C1003" s="33"/>
      <c r="D1003" s="33"/>
      <c r="E1003" s="33"/>
      <c r="F1003" s="33"/>
      <c r="G1003" s="33"/>
      <c r="H1003" s="33"/>
      <c r="I1003" s="33"/>
      <c r="J1003" s="33"/>
      <c r="K1003" s="33"/>
      <c r="L1003" s="33"/>
      <c r="M1003" s="33"/>
      <c r="N1003" s="27"/>
      <c r="O1003" s="33"/>
      <c r="P1003" s="33"/>
      <c r="Q1003" s="33"/>
      <c r="R1003" s="33"/>
    </row>
    <row r="1004" spans="1:18" x14ac:dyDescent="0.3">
      <c r="N1004" s="26"/>
    </row>
    <row r="1005" spans="1:18" x14ac:dyDescent="0.3">
      <c r="N1005" s="26"/>
    </row>
    <row r="1006" spans="1:18" x14ac:dyDescent="0.3">
      <c r="N1006" s="26"/>
    </row>
    <row r="1007" spans="1:18" x14ac:dyDescent="0.3">
      <c r="N1007" s="26"/>
    </row>
    <row r="1008" spans="1:18" x14ac:dyDescent="0.3">
      <c r="N1008" s="26"/>
    </row>
    <row r="1009" spans="14:14" x14ac:dyDescent="0.3">
      <c r="N1009" s="26"/>
    </row>
    <row r="1010" spans="14:14" x14ac:dyDescent="0.3">
      <c r="N1010" s="26"/>
    </row>
    <row r="1011" spans="14:14" x14ac:dyDescent="0.3">
      <c r="N1011" s="26"/>
    </row>
    <row r="1012" spans="14:14" x14ac:dyDescent="0.3">
      <c r="N1012" s="26"/>
    </row>
    <row r="1013" spans="14:14" x14ac:dyDescent="0.3">
      <c r="N1013" s="26"/>
    </row>
    <row r="1014" spans="14:14" x14ac:dyDescent="0.3">
      <c r="N1014" s="26"/>
    </row>
    <row r="1015" spans="14:14" x14ac:dyDescent="0.3">
      <c r="N1015" s="26"/>
    </row>
    <row r="1016" spans="14:14" x14ac:dyDescent="0.3">
      <c r="N1016" s="26"/>
    </row>
    <row r="1017" spans="14:14" x14ac:dyDescent="0.3">
      <c r="N1017" s="26"/>
    </row>
    <row r="1018" spans="14:14" x14ac:dyDescent="0.3">
      <c r="N1018" s="26"/>
    </row>
    <row r="1019" spans="14:14" x14ac:dyDescent="0.3">
      <c r="N1019" s="26"/>
    </row>
    <row r="1020" spans="14:14" x14ac:dyDescent="0.3">
      <c r="N1020" s="26"/>
    </row>
    <row r="1021" spans="14:14" x14ac:dyDescent="0.3">
      <c r="N1021" s="26"/>
    </row>
    <row r="1022" spans="14:14" x14ac:dyDescent="0.3">
      <c r="N1022" s="26"/>
    </row>
    <row r="1023" spans="14:14" x14ac:dyDescent="0.3">
      <c r="N1023" s="26"/>
    </row>
    <row r="1024" spans="14:14" x14ac:dyDescent="0.3">
      <c r="N1024" s="26"/>
    </row>
    <row r="1025" spans="14:14" x14ac:dyDescent="0.3">
      <c r="N1025" s="26"/>
    </row>
    <row r="1026" spans="14:14" x14ac:dyDescent="0.3">
      <c r="N1026" s="26"/>
    </row>
    <row r="1027" spans="14:14" x14ac:dyDescent="0.3">
      <c r="N1027" s="26"/>
    </row>
    <row r="1028" spans="14:14" x14ac:dyDescent="0.3">
      <c r="N1028" s="26"/>
    </row>
    <row r="1029" spans="14:14" x14ac:dyDescent="0.3">
      <c r="N1029" s="26"/>
    </row>
    <row r="1030" spans="14:14" x14ac:dyDescent="0.3">
      <c r="N1030" s="26"/>
    </row>
    <row r="1031" spans="14:14" x14ac:dyDescent="0.3">
      <c r="N1031" s="26"/>
    </row>
    <row r="1032" spans="14:14" x14ac:dyDescent="0.3">
      <c r="N1032" s="26"/>
    </row>
    <row r="1033" spans="14:14" x14ac:dyDescent="0.3">
      <c r="N1033" s="26"/>
    </row>
    <row r="1034" spans="14:14" x14ac:dyDescent="0.3">
      <c r="N1034" s="26"/>
    </row>
    <row r="1035" spans="14:14" x14ac:dyDescent="0.3">
      <c r="N1035" s="26"/>
    </row>
    <row r="1036" spans="14:14" x14ac:dyDescent="0.3">
      <c r="N1036" s="26"/>
    </row>
    <row r="1037" spans="14:14" x14ac:dyDescent="0.3">
      <c r="N1037" s="26"/>
    </row>
    <row r="1038" spans="14:14" x14ac:dyDescent="0.3">
      <c r="N1038" s="26"/>
    </row>
    <row r="1039" spans="14:14" x14ac:dyDescent="0.3">
      <c r="N1039" s="26"/>
    </row>
    <row r="1040" spans="14:14" x14ac:dyDescent="0.3">
      <c r="N1040" s="26"/>
    </row>
    <row r="1041" spans="14:14" x14ac:dyDescent="0.3">
      <c r="N1041" s="26"/>
    </row>
    <row r="1042" spans="14:14" x14ac:dyDescent="0.3">
      <c r="N1042" s="26"/>
    </row>
    <row r="1043" spans="14:14" x14ac:dyDescent="0.3">
      <c r="N1043" s="26"/>
    </row>
    <row r="1044" spans="14:14" x14ac:dyDescent="0.3">
      <c r="N1044" s="26"/>
    </row>
    <row r="1045" spans="14:14" x14ac:dyDescent="0.3">
      <c r="N1045" s="26"/>
    </row>
    <row r="1046" spans="14:14" x14ac:dyDescent="0.3">
      <c r="N1046" s="26"/>
    </row>
    <row r="1047" spans="14:14" x14ac:dyDescent="0.3">
      <c r="N1047" s="26"/>
    </row>
    <row r="1048" spans="14:14" x14ac:dyDescent="0.3">
      <c r="N1048" s="26"/>
    </row>
    <row r="1049" spans="14:14" x14ac:dyDescent="0.3">
      <c r="N1049" s="26"/>
    </row>
    <row r="1050" spans="14:14" x14ac:dyDescent="0.3">
      <c r="N1050" s="26"/>
    </row>
    <row r="1051" spans="14:14" x14ac:dyDescent="0.3">
      <c r="N1051" s="26"/>
    </row>
    <row r="1052" spans="14:14" x14ac:dyDescent="0.3">
      <c r="N1052" s="26"/>
    </row>
    <row r="1053" spans="14:14" x14ac:dyDescent="0.3">
      <c r="N1053" s="26"/>
    </row>
    <row r="1054" spans="14:14" x14ac:dyDescent="0.3">
      <c r="N1054" s="26"/>
    </row>
    <row r="1055" spans="14:14" x14ac:dyDescent="0.3">
      <c r="N1055" s="26"/>
    </row>
    <row r="1056" spans="14:14" x14ac:dyDescent="0.3">
      <c r="N1056" s="26"/>
    </row>
    <row r="1057" spans="14:14" x14ac:dyDescent="0.3">
      <c r="N1057" s="26"/>
    </row>
    <row r="1058" spans="14:14" x14ac:dyDescent="0.3">
      <c r="N1058" s="26"/>
    </row>
    <row r="1059" spans="14:14" x14ac:dyDescent="0.3">
      <c r="N1059" s="26"/>
    </row>
    <row r="1060" spans="14:14" x14ac:dyDescent="0.3">
      <c r="N1060" s="26"/>
    </row>
    <row r="1061" spans="14:14" x14ac:dyDescent="0.3">
      <c r="N1061" s="26"/>
    </row>
    <row r="1062" spans="14:14" x14ac:dyDescent="0.3">
      <c r="N1062" s="26"/>
    </row>
    <row r="1063" spans="14:14" x14ac:dyDescent="0.3">
      <c r="N1063" s="26"/>
    </row>
    <row r="1064" spans="14:14" x14ac:dyDescent="0.3">
      <c r="N1064" s="26"/>
    </row>
    <row r="1065" spans="14:14" x14ac:dyDescent="0.3">
      <c r="N1065" s="26"/>
    </row>
    <row r="1066" spans="14:14" x14ac:dyDescent="0.3">
      <c r="N1066" s="26"/>
    </row>
    <row r="1067" spans="14:14" x14ac:dyDescent="0.3">
      <c r="N1067" s="26"/>
    </row>
    <row r="1068" spans="14:14" x14ac:dyDescent="0.3">
      <c r="N1068" s="26"/>
    </row>
    <row r="1069" spans="14:14" x14ac:dyDescent="0.3">
      <c r="N1069" s="26"/>
    </row>
    <row r="1070" spans="14:14" x14ac:dyDescent="0.3">
      <c r="N1070" s="26"/>
    </row>
    <row r="1071" spans="14:14" x14ac:dyDescent="0.3">
      <c r="N1071" s="26"/>
    </row>
    <row r="1072" spans="14:14" x14ac:dyDescent="0.3">
      <c r="N1072" s="26"/>
    </row>
    <row r="1073" spans="14:14" x14ac:dyDescent="0.3">
      <c r="N1073" s="26"/>
    </row>
    <row r="1074" spans="14:14" x14ac:dyDescent="0.3">
      <c r="N1074" s="26"/>
    </row>
    <row r="1075" spans="14:14" x14ac:dyDescent="0.3">
      <c r="N1075" s="26"/>
    </row>
    <row r="1076" spans="14:14" x14ac:dyDescent="0.3">
      <c r="N1076" s="26"/>
    </row>
    <row r="1077" spans="14:14" x14ac:dyDescent="0.3">
      <c r="N1077" s="26"/>
    </row>
    <row r="1078" spans="14:14" x14ac:dyDescent="0.3">
      <c r="N1078" s="26"/>
    </row>
    <row r="1079" spans="14:14" x14ac:dyDescent="0.3">
      <c r="N1079" s="26"/>
    </row>
    <row r="1080" spans="14:14" x14ac:dyDescent="0.3">
      <c r="N1080" s="26"/>
    </row>
    <row r="1081" spans="14:14" x14ac:dyDescent="0.3">
      <c r="N1081" s="26"/>
    </row>
    <row r="1082" spans="14:14" x14ac:dyDescent="0.3">
      <c r="N1082" s="26"/>
    </row>
    <row r="1083" spans="14:14" x14ac:dyDescent="0.3">
      <c r="N1083" s="26"/>
    </row>
    <row r="1084" spans="14:14" x14ac:dyDescent="0.3">
      <c r="N1084" s="26"/>
    </row>
    <row r="1085" spans="14:14" x14ac:dyDescent="0.3">
      <c r="N1085" s="26"/>
    </row>
    <row r="1086" spans="14:14" x14ac:dyDescent="0.3">
      <c r="N1086" s="26"/>
    </row>
    <row r="1087" spans="14:14" x14ac:dyDescent="0.3">
      <c r="N1087" s="26"/>
    </row>
    <row r="1088" spans="14:14" x14ac:dyDescent="0.3">
      <c r="N1088" s="26"/>
    </row>
    <row r="1089" spans="14:14" x14ac:dyDescent="0.3">
      <c r="N1089" s="26"/>
    </row>
    <row r="1090" spans="14:14" x14ac:dyDescent="0.3">
      <c r="N1090" s="26"/>
    </row>
    <row r="1091" spans="14:14" x14ac:dyDescent="0.3">
      <c r="N1091" s="26"/>
    </row>
    <row r="1092" spans="14:14" x14ac:dyDescent="0.3">
      <c r="N1092" s="26"/>
    </row>
    <row r="1093" spans="14:14" x14ac:dyDescent="0.3">
      <c r="N1093" s="26"/>
    </row>
    <row r="1094" spans="14:14" x14ac:dyDescent="0.3">
      <c r="N1094" s="26"/>
    </row>
    <row r="1095" spans="14:14" x14ac:dyDescent="0.3">
      <c r="N1095" s="26"/>
    </row>
    <row r="1096" spans="14:14" x14ac:dyDescent="0.3">
      <c r="N1096" s="26"/>
    </row>
    <row r="1097" spans="14:14" x14ac:dyDescent="0.3">
      <c r="N1097" s="26"/>
    </row>
  </sheetData>
  <sheetProtection algorithmName="SHA-512" hashValue="RQfQzUQtm8apzuRxfqJM87Q6V7NBOuaXm6Az+8mG4YGuxlIAprHZGHZBxJYMFItlsy8BodYhPyx8BC0JBVCJbA==" saltValue="rTLyrGbMcqjkV1ZhBTWEIA==" spinCount="100000" sheet="1" objects="1" scenarios="1" selectLockedCells="1" selectUnlockedCells="1"/>
  <autoFilter ref="A1:T911" xr:uid="{62759000-53A6-4DD5-A7F2-FF0C85C39AD4}"/>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561B-C4C4-4CCB-9FC5-4015DD4BB2C0}">
  <dimension ref="A1:B56"/>
  <sheetViews>
    <sheetView tabSelected="1" topLeftCell="A35" workbookViewId="0">
      <selection activeCell="A35" sqref="A1:XFD1048576"/>
    </sheetView>
  </sheetViews>
  <sheetFormatPr defaultRowHeight="14.4" x14ac:dyDescent="0.3"/>
  <cols>
    <col min="1" max="1" width="31.44140625" bestFit="1" customWidth="1"/>
    <col min="2" max="2" width="17.88671875" bestFit="1" customWidth="1"/>
  </cols>
  <sheetData>
    <row r="1" spans="1:2" x14ac:dyDescent="0.3">
      <c r="A1" s="45" t="s">
        <v>3</v>
      </c>
      <c r="B1" t="s">
        <v>186</v>
      </c>
    </row>
    <row r="3" spans="1:2" x14ac:dyDescent="0.3">
      <c r="A3" s="45" t="s">
        <v>187</v>
      </c>
    </row>
    <row r="4" spans="1:2" x14ac:dyDescent="0.3">
      <c r="A4" s="45" t="s">
        <v>4</v>
      </c>
      <c r="B4" t="s">
        <v>75</v>
      </c>
    </row>
    <row r="5" spans="1:2" x14ac:dyDescent="0.3">
      <c r="A5" t="s">
        <v>76</v>
      </c>
      <c r="B5" s="44">
        <v>22.083101853881452</v>
      </c>
    </row>
    <row r="6" spans="1:2" x14ac:dyDescent="0.3">
      <c r="A6" t="s">
        <v>79</v>
      </c>
      <c r="B6" s="44"/>
    </row>
    <row r="7" spans="1:2" x14ac:dyDescent="0.3">
      <c r="A7" t="s">
        <v>80</v>
      </c>
      <c r="B7" s="44">
        <v>20.565239605168209</v>
      </c>
    </row>
    <row r="8" spans="1:2" x14ac:dyDescent="0.3">
      <c r="A8" t="s">
        <v>83</v>
      </c>
      <c r="B8" s="44"/>
    </row>
    <row r="9" spans="1:2" x14ac:dyDescent="0.3">
      <c r="A9" t="s">
        <v>84</v>
      </c>
      <c r="B9" s="44">
        <v>25.281167325148168</v>
      </c>
    </row>
    <row r="10" spans="1:2" x14ac:dyDescent="0.3">
      <c r="A10" t="s">
        <v>85</v>
      </c>
      <c r="B10" s="44">
        <v>31.033881147927879</v>
      </c>
    </row>
    <row r="11" spans="1:2" x14ac:dyDescent="0.3">
      <c r="A11" t="s">
        <v>86</v>
      </c>
      <c r="B11" s="44">
        <v>25.748505951063954</v>
      </c>
    </row>
    <row r="12" spans="1:2" x14ac:dyDescent="0.3">
      <c r="A12" t="s">
        <v>87</v>
      </c>
      <c r="B12" s="44">
        <v>24.851262894089334</v>
      </c>
    </row>
    <row r="13" spans="1:2" x14ac:dyDescent="0.3">
      <c r="A13" t="s">
        <v>89</v>
      </c>
      <c r="B13" s="44">
        <v>18</v>
      </c>
    </row>
    <row r="14" spans="1:2" x14ac:dyDescent="0.3">
      <c r="A14" t="s">
        <v>90</v>
      </c>
      <c r="B14" s="44">
        <v>21.702837859085193</v>
      </c>
    </row>
    <row r="15" spans="1:2" x14ac:dyDescent="0.3">
      <c r="A15" t="s">
        <v>92</v>
      </c>
      <c r="B15" s="44"/>
    </row>
    <row r="16" spans="1:2" x14ac:dyDescent="0.3">
      <c r="A16" t="s">
        <v>93</v>
      </c>
      <c r="B16" s="44"/>
    </row>
    <row r="17" spans="1:2" x14ac:dyDescent="0.3">
      <c r="A17" t="s">
        <v>46</v>
      </c>
      <c r="B17" s="44">
        <v>40.505527289383295</v>
      </c>
    </row>
    <row r="18" spans="1:2" x14ac:dyDescent="0.3">
      <c r="A18" t="s">
        <v>48</v>
      </c>
      <c r="B18" s="44">
        <v>26.566692558902538</v>
      </c>
    </row>
    <row r="19" spans="1:2" x14ac:dyDescent="0.3">
      <c r="A19" t="s">
        <v>94</v>
      </c>
      <c r="B19" s="44">
        <v>26.190096499022818</v>
      </c>
    </row>
    <row r="20" spans="1:2" x14ac:dyDescent="0.3">
      <c r="A20" t="s">
        <v>95</v>
      </c>
      <c r="B20" s="44">
        <v>23.948128850145451</v>
      </c>
    </row>
    <row r="21" spans="1:2" x14ac:dyDescent="0.3">
      <c r="A21" t="s">
        <v>96</v>
      </c>
      <c r="B21" s="44">
        <v>25.479236311320946</v>
      </c>
    </row>
    <row r="22" spans="1:2" x14ac:dyDescent="0.3">
      <c r="A22" t="s">
        <v>97</v>
      </c>
      <c r="B22" s="44">
        <v>30.003783175597228</v>
      </c>
    </row>
    <row r="23" spans="1:2" x14ac:dyDescent="0.3">
      <c r="A23" t="s">
        <v>49</v>
      </c>
      <c r="B23" s="44">
        <v>34.811320754716981</v>
      </c>
    </row>
    <row r="24" spans="1:2" x14ac:dyDescent="0.3">
      <c r="A24" t="s">
        <v>98</v>
      </c>
      <c r="B24" s="44"/>
    </row>
    <row r="25" spans="1:2" x14ac:dyDescent="0.3">
      <c r="A25" t="s">
        <v>99</v>
      </c>
      <c r="B25" s="44">
        <v>20.588093156269363</v>
      </c>
    </row>
    <row r="26" spans="1:2" x14ac:dyDescent="0.3">
      <c r="A26" t="s">
        <v>100</v>
      </c>
      <c r="B26" s="44">
        <v>26.788788052086559</v>
      </c>
    </row>
    <row r="27" spans="1:2" x14ac:dyDescent="0.3">
      <c r="A27" t="s">
        <v>50</v>
      </c>
      <c r="B27" s="44">
        <v>24.609629526612817</v>
      </c>
    </row>
    <row r="28" spans="1:2" x14ac:dyDescent="0.3">
      <c r="A28" t="s">
        <v>51</v>
      </c>
      <c r="B28" s="44">
        <v>22.483771748832343</v>
      </c>
    </row>
    <row r="29" spans="1:2" x14ac:dyDescent="0.3">
      <c r="A29" t="s">
        <v>52</v>
      </c>
      <c r="B29" s="44">
        <v>21.945329167936602</v>
      </c>
    </row>
    <row r="30" spans="1:2" x14ac:dyDescent="0.3">
      <c r="A30" t="s">
        <v>101</v>
      </c>
      <c r="B30" s="44">
        <v>20.84227254863405</v>
      </c>
    </row>
    <row r="31" spans="1:2" x14ac:dyDescent="0.3">
      <c r="A31" t="s">
        <v>102</v>
      </c>
      <c r="B31" s="44"/>
    </row>
    <row r="32" spans="1:2" x14ac:dyDescent="0.3">
      <c r="A32" t="s">
        <v>103</v>
      </c>
      <c r="B32" s="44"/>
    </row>
    <row r="33" spans="1:2" x14ac:dyDescent="0.3">
      <c r="A33" t="s">
        <v>104</v>
      </c>
      <c r="B33" s="44">
        <v>20.434900207237366</v>
      </c>
    </row>
    <row r="34" spans="1:2" x14ac:dyDescent="0.3">
      <c r="A34" t="s">
        <v>53</v>
      </c>
      <c r="B34" s="44">
        <v>21.758715986394556</v>
      </c>
    </row>
    <row r="35" spans="1:2" x14ac:dyDescent="0.3">
      <c r="A35" t="s">
        <v>105</v>
      </c>
      <c r="B35" s="44">
        <v>33.200860567183952</v>
      </c>
    </row>
    <row r="36" spans="1:2" x14ac:dyDescent="0.3">
      <c r="A36" t="s">
        <v>106</v>
      </c>
      <c r="B36" s="44">
        <v>24.248666666666669</v>
      </c>
    </row>
    <row r="37" spans="1:2" x14ac:dyDescent="0.3">
      <c r="A37" t="s">
        <v>54</v>
      </c>
      <c r="B37" s="44">
        <v>23.050646099204915</v>
      </c>
    </row>
    <row r="38" spans="1:2" x14ac:dyDescent="0.3">
      <c r="A38" t="s">
        <v>107</v>
      </c>
      <c r="B38" s="44"/>
    </row>
    <row r="39" spans="1:2" x14ac:dyDescent="0.3">
      <c r="A39" t="s">
        <v>108</v>
      </c>
      <c r="B39" s="44">
        <v>19.804051951888443</v>
      </c>
    </row>
    <row r="40" spans="1:2" x14ac:dyDescent="0.3">
      <c r="A40" t="s">
        <v>109</v>
      </c>
      <c r="B40" s="44"/>
    </row>
    <row r="41" spans="1:2" x14ac:dyDescent="0.3">
      <c r="A41" t="s">
        <v>55</v>
      </c>
      <c r="B41" s="44">
        <v>32.575813484240598</v>
      </c>
    </row>
    <row r="42" spans="1:2" x14ac:dyDescent="0.3">
      <c r="A42" t="s">
        <v>110</v>
      </c>
      <c r="B42" s="44"/>
    </row>
    <row r="43" spans="1:2" x14ac:dyDescent="0.3">
      <c r="A43" t="s">
        <v>56</v>
      </c>
      <c r="B43" s="44">
        <v>21.566805320690939</v>
      </c>
    </row>
    <row r="44" spans="1:2" x14ac:dyDescent="0.3">
      <c r="A44" t="s">
        <v>111</v>
      </c>
      <c r="B44" s="44"/>
    </row>
    <row r="45" spans="1:2" x14ac:dyDescent="0.3">
      <c r="A45" t="s">
        <v>112</v>
      </c>
      <c r="B45" s="44"/>
    </row>
    <row r="46" spans="1:2" x14ac:dyDescent="0.3">
      <c r="A46" t="s">
        <v>114</v>
      </c>
      <c r="B46" s="44">
        <v>20.383392096480794</v>
      </c>
    </row>
    <row r="47" spans="1:2" x14ac:dyDescent="0.3">
      <c r="A47" t="s">
        <v>57</v>
      </c>
      <c r="B47" s="44">
        <v>32.199695050433967</v>
      </c>
    </row>
    <row r="48" spans="1:2" x14ac:dyDescent="0.3">
      <c r="A48" t="s">
        <v>116</v>
      </c>
      <c r="B48" s="44"/>
    </row>
    <row r="49" spans="1:2" x14ac:dyDescent="0.3">
      <c r="A49" t="s">
        <v>58</v>
      </c>
      <c r="B49" s="44">
        <v>41.629662521752316</v>
      </c>
    </row>
    <row r="50" spans="1:2" x14ac:dyDescent="0.3">
      <c r="A50" t="s">
        <v>59</v>
      </c>
      <c r="B50" s="44">
        <v>28.383592485515994</v>
      </c>
    </row>
    <row r="51" spans="1:2" x14ac:dyDescent="0.3">
      <c r="A51" t="s">
        <v>117</v>
      </c>
      <c r="B51" s="44">
        <v>34.242059214168634</v>
      </c>
    </row>
    <row r="52" spans="1:2" x14ac:dyDescent="0.3">
      <c r="A52" t="s">
        <v>60</v>
      </c>
      <c r="B52" s="44">
        <v>21.89986722091578</v>
      </c>
    </row>
    <row r="53" spans="1:2" x14ac:dyDescent="0.3">
      <c r="A53" t="s">
        <v>61</v>
      </c>
      <c r="B53" s="44">
        <v>34.391320567018646</v>
      </c>
    </row>
    <row r="54" spans="1:2" x14ac:dyDescent="0.3">
      <c r="A54" t="s">
        <v>62</v>
      </c>
      <c r="B54" s="44">
        <v>24.142857142857142</v>
      </c>
    </row>
    <row r="55" spans="1:2" x14ac:dyDescent="0.3">
      <c r="A55" t="s">
        <v>157</v>
      </c>
      <c r="B55" s="44"/>
    </row>
    <row r="56" spans="1:2" x14ac:dyDescent="0.3">
      <c r="A56" t="s">
        <v>121</v>
      </c>
      <c r="B56" s="44">
        <v>26.114870240567928</v>
      </c>
    </row>
  </sheetData>
  <sheetProtection algorithmName="SHA-512" hashValue="hH/HOYHVemIrL5mo+Juq6J+AAODjXEc29EQZMlMAfwLuGn0YouEb24A6tLVXY2Gfdg3mY5s0mqXgG4lPHFiN0g==" saltValue="r+ncFh2ViEE1unw8zNpEx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Tag xmlns="23969b8f-7d9e-4a06-a3c7-61318e53c455">
      <Value>Document</Value>
    </Document_x0020_Tag>
    <Status xmlns="23969b8f-7d9e-4a06-a3c7-61318e53c455"/>
    <TAG xmlns="23969b8f-7d9e-4a06-a3c7-61318e53c455"/>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8B4F67BA35E14D874B99286FA307DD" ma:contentTypeVersion="28" ma:contentTypeDescription="Create a new document." ma:contentTypeScope="" ma:versionID="7124ab29c88d16687d9b475e4bf06d69">
  <xsd:schema xmlns:xsd="http://www.w3.org/2001/XMLSchema" xmlns:xs="http://www.w3.org/2001/XMLSchema" xmlns:p="http://schemas.microsoft.com/office/2006/metadata/properties" xmlns:ns1="http://schemas.microsoft.com/sharepoint/v3" xmlns:ns2="23969b8f-7d9e-4a06-a3c7-61318e53c455" xmlns:ns3="3fc95adb-a47f-4c1f-8b92-350805adf7bb" targetNamespace="http://schemas.microsoft.com/office/2006/metadata/properties" ma:root="true" ma:fieldsID="9430ef2c1cbd3c7efc50d733e5226401" ns1:_="" ns2:_="" ns3:_="">
    <xsd:import namespace="http://schemas.microsoft.com/sharepoint/v3"/>
    <xsd:import namespace="23969b8f-7d9e-4a06-a3c7-61318e53c455"/>
    <xsd:import namespace="3fc95adb-a47f-4c1f-8b92-350805adf7bb"/>
    <xsd:element name="properties">
      <xsd:complexType>
        <xsd:sequence>
          <xsd:element name="documentManagement">
            <xsd:complexType>
              <xsd:all>
                <xsd:element ref="ns2:Document_x0020_Tag" minOccurs="0"/>
                <xsd:element ref="ns2:Statu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TAG"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969b8f-7d9e-4a06-a3c7-61318e53c455" elementFormDefault="qualified">
    <xsd:import namespace="http://schemas.microsoft.com/office/2006/documentManagement/types"/>
    <xsd:import namespace="http://schemas.microsoft.com/office/infopath/2007/PartnerControls"/>
    <xsd:element name="Document_x0020_Tag" ma:index="8" nillable="true" ma:displayName="Document Tag" ma:default="Document" ma:format="Dropdown" ma:internalName="Document_x0020_Tag">
      <xsd:complexType>
        <xsd:complexContent>
          <xsd:extension base="dms:MultiChoice">
            <xsd:sequence>
              <xsd:element name="Value" maxOccurs="unbounded" minOccurs="0" nillable="true">
                <xsd:simpleType>
                  <xsd:restriction base="dms:Choice">
                    <xsd:enumeration value="Case Closure Documents"/>
                    <xsd:enumeration value="Admin"/>
                    <xsd:enumeration value="Filings and Notices"/>
                    <xsd:enumeration value="Interviews"/>
                    <xsd:enumeration value="Compliance"/>
                    <xsd:enumeration value="Memo"/>
                    <xsd:enumeration value="Research"/>
                    <xsd:enumeration value="Remedies and Penalties"/>
                    <xsd:enumeration value="Communication"/>
                    <xsd:enumeration value="Document"/>
                  </xsd:restriction>
                </xsd:simpleType>
              </xsd:element>
            </xsd:sequence>
          </xsd:extension>
        </xsd:complexContent>
      </xsd:complexType>
    </xsd:element>
    <xsd:element name="Status" ma:index="9" nillable="true" ma:displayName="Status" ma:internalName="Status" ma:readOnly="false">
      <xsd:complexType>
        <xsd:complexContent>
          <xsd:extension base="dms:MultiChoice">
            <xsd:sequence>
              <xsd:element name="Value" maxOccurs="unbounded" minOccurs="0" nillable="true">
                <xsd:simpleType>
                  <xsd:restriction base="dms:Choice">
                    <xsd:enumeration value="Draft"/>
                    <xsd:enumeration value="Final"/>
                    <xsd:enumeration value="Non-disclosure"/>
                    <xsd:enumeration value="Attorney-Client Privileged"/>
                  </xsd:restriction>
                </xsd:simple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TAG" ma:index="20" nillable="true" ma:displayName="TAG" ma:description="Knowledge base cases" ma:format="Dropdown" ma:internalName="TAG">
      <xsd:complexType>
        <xsd:complexContent>
          <xsd:extension base="dms:MultiChoice">
            <xsd:sequence>
              <xsd:element name="Value" maxOccurs="unbounded" minOccurs="0" nillable="true">
                <xsd:simpleType>
                  <xsd:restriction base="dms:Choice">
                    <xsd:enumeration value="Govt"/>
                    <xsd:enumeration value="Small Business"/>
                    <xsd:enumeration value="Cannabis"/>
                  </xsd:restriction>
                </xsd:simpleType>
              </xsd:element>
            </xsd:sequence>
          </xsd:extension>
        </xsd:complexContent>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c95adb-a47f-4c1f-8b92-350805adf7b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6DE11-942D-4F08-94B8-2504DBEA5C35}">
  <ds:schemaRefs>
    <ds:schemaRef ds:uri="http://schemas.microsoft.com/sharepoint/v3/contenttype/forms"/>
  </ds:schemaRefs>
</ds:datastoreItem>
</file>

<file path=customXml/itemProps2.xml><?xml version="1.0" encoding="utf-8"?>
<ds:datastoreItem xmlns:ds="http://schemas.openxmlformats.org/officeDocument/2006/customXml" ds:itemID="{5390A32E-474E-4F2B-9FC2-BC499A4701D9}">
  <ds:schemaRefs>
    <ds:schemaRef ds:uri="http://schemas.microsoft.com/office/2006/metadata/properties"/>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 ds:uri="3fc95adb-a47f-4c1f-8b92-350805adf7bb"/>
    <ds:schemaRef ds:uri="23969b8f-7d9e-4a06-a3c7-61318e53c455"/>
    <ds:schemaRef ds:uri="http://schemas.microsoft.com/sharepoint/v3"/>
  </ds:schemaRefs>
</ds:datastoreItem>
</file>

<file path=customXml/itemProps3.xml><?xml version="1.0" encoding="utf-8"?>
<ds:datastoreItem xmlns:ds="http://schemas.openxmlformats.org/officeDocument/2006/customXml" ds:itemID="{E6B48561-2102-4403-A49B-72FB55E6B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3969b8f-7d9e-4a06-a3c7-61318e53c455"/>
    <ds:schemaRef ds:uri="3fc95adb-a47f-4c1f-8b92-350805adf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Baja SPS</vt:lpstr>
      <vt:lpstr>Hours</vt:lpstr>
      <vt:lpstr>Color Key and Notes</vt:lpstr>
      <vt:lpstr>OLS OT &amp; WT calcs</vt:lpstr>
      <vt:lpstr>MW Calcs</vt:lpstr>
      <vt:lpstr>Sheet1</vt:lpstr>
      <vt:lpstr>PSST</vt:lpstr>
      <vt:lpstr>OLS OT &amp; WT_COPYCBE</vt:lpstr>
      <vt:lpstr>Avg hourly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Payroll</dc:creator>
  <cp:keywords/>
  <dc:description/>
  <cp:lastModifiedBy>Anderson, Sheala</cp:lastModifiedBy>
  <cp:revision/>
  <dcterms:created xsi:type="dcterms:W3CDTF">2020-06-16T23:01:27Z</dcterms:created>
  <dcterms:modified xsi:type="dcterms:W3CDTF">2022-07-01T19:23:36Z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0x010100E28B4F67BA35E14D874B99286FA307DD</vt:lpwstr>
  </property>
</Properties>
</file>